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04Q1資產負債表 -查核 " sheetId="1" r:id="rId1"/>
    <sheet name="104Q1損益表-查核" sheetId="2" r:id="rId2"/>
  </sheets>
  <externalReferences>
    <externalReference r:id="rId5"/>
  </externalReferences>
  <definedNames>
    <definedName name="_Col01" localSheetId="0">'104Q1資產負債表 -查核 '!$K$8</definedName>
    <definedName name="_Col02" localSheetId="0">'104Q1資產負債表 -查核 '!$M$8</definedName>
    <definedName name="_Col03" localSheetId="0">'104Q1資產負債表 -查核 '!#REF!</definedName>
    <definedName name="_Col04" localSheetId="0">'104Q1資產負債表 -查核 '!#REF!</definedName>
    <definedName name="ActDesc" localSheetId="0">'104Q1資產負債表 -查核 '!$A$8</definedName>
    <definedName name="ActDesc_1" localSheetId="1">'104Q1損益表-查核'!$A$30</definedName>
    <definedName name="ActDesc_P2" localSheetId="0">'104Q1資產負債表 -查核 '!$P$8</definedName>
    <definedName name="AS2DocOpenMode" hidden="1">"AS2DocumentEdit"</definedName>
    <definedName name="Col01_1" localSheetId="1">'104Q1損益表-查核'!$C$30</definedName>
    <definedName name="Col01_P2" localSheetId="0">'104Q1資產負債表 -查核 '!$Z$8</definedName>
    <definedName name="Col02_1" localSheetId="1">'104Q1損益表-查核'!$E$30</definedName>
    <definedName name="Col02_P2" localSheetId="0">'104Q1資產負債表 -查核 '!$AB$8</definedName>
    <definedName name="Col03_1" localSheetId="1">'104Q1損益表-查核'!$G$30</definedName>
    <definedName name="Col03_P2" localSheetId="0">'104Q1資產負債表 -查核 '!#REF!</definedName>
    <definedName name="Col04_1" localSheetId="1">'104Q1損益表-查核'!$I$30</definedName>
    <definedName name="Col04_P2" localSheetId="0">'104Q1資產負債表 -查核 '!#REF!</definedName>
    <definedName name="DataEnd" localSheetId="0">'104Q1資產負債表 -查核 '!#REF!</definedName>
    <definedName name="DataEnd_1" localSheetId="1">'104Q1損益表-查核'!#REF!</definedName>
    <definedName name="EndDayC_4" localSheetId="0">'104Q1資產負債表 -查核 '!#REF!</definedName>
    <definedName name="FiscalPeriod1C" localSheetId="1">'104Q1損益表-查核'!$G$6</definedName>
    <definedName name="FiscalPeriodC" localSheetId="1">'104Q1損益表-查核'!$C$6</definedName>
    <definedName name="InsEnd" localSheetId="0">'104Q1資產負債表 -查核 '!#REF!</definedName>
    <definedName name="TB05ee64bc_2230_430b_9004_ea365b05cf66" hidden="1">'104Q1資產負債表 -查核 '!$R$27</definedName>
    <definedName name="TB0626dfb4_3899_40c8_8ae4_4066ba1b6943" hidden="1">'104Q1資產負債表 -查核 '!$C$47</definedName>
    <definedName name="TB0ba2a3e2_7c05_4b66_8353_ef725b1e3ce1" hidden="1">'104Q1損益表-查核'!#REF!</definedName>
    <definedName name="TB0e32d6e4_5b56_4ebf_9b60_15ae728129cc" hidden="1">'104Q1損益表-查核'!$S$14</definedName>
    <definedName name="TB0f459692_b8ef_472b_843b_2ff53edaab59" hidden="1">'104Q1資產負債表 -查核 '!$V$43</definedName>
    <definedName name="TB11205c7a_43a3_456c_9c9a_5667c8e5fefb" hidden="1">'104Q1資產負債表 -查核 '!#REF!</definedName>
    <definedName name="TB12348a2c_1d6e_446a_9df7_316546534152" hidden="1">'104Q1資產負債表 -查核 '!$C$9</definedName>
    <definedName name="TB13511863_4686_4754_bfa4_a2f123bf4477" hidden="1">'104Q1資產負債表 -查核 '!$G$54</definedName>
    <definedName name="TB14be7b4b_3b74_43cf_a82a_c67d33747241" hidden="1">'104Q1資產負債表 -查核 '!$R$43</definedName>
    <definedName name="TB25cafc8e_2960_4797_89cf_481c31eb22b4" hidden="1">'104Q1資產負債表 -查核 '!$K$43</definedName>
    <definedName name="TB36a7315d_6a23_42c0_b7c5_d6b707c62280" hidden="1">'104Q1損益表-查核'!$S$19</definedName>
    <definedName name="TB37fbd914_9592_4780_b9c9_3ed098d34ace" hidden="1">'104Q1資產負債表 -查核 '!#REF!</definedName>
    <definedName name="TB3b171a56_375d_4c9d_892f_0d614682c681" hidden="1">'104Q1資產負債表 -查核 '!$R$47</definedName>
    <definedName name="TB3ff2a10c_6bd5_41b0_9b62_0f59b5e001ee" hidden="1">'104Q1資產負債表 -查核 '!$Z$48</definedName>
    <definedName name="TB415c394f_cf17_48f1_9102_6f9af837c69d" hidden="1">'104Q1資產負債表 -查核 '!$R$51</definedName>
    <definedName name="TB4417609f_0d1d_4977_b341_7e96e1810066" hidden="1">'104Q1損益表-查核'!#REF!</definedName>
    <definedName name="TB50ddb6d5_2188_4836_9ff5_e5490650e24b" hidden="1">'104Q1資產負債表 -查核 '!$G$51</definedName>
    <definedName name="TB5607b0f3_194b_4e91_95ee_4bd1cb244c87" hidden="1">'104Q1資產負債表 -查核 '!$G$44</definedName>
    <definedName name="TB56e14d81_376a_454a_8470_b9ac6214456d" hidden="1">'104Q1資產負債表 -查核 '!$C$54</definedName>
    <definedName name="TB57882b66_df29_4b2f_8877_27b853b07905" hidden="1">'104Q1資產負債表 -查核 '!$V$47</definedName>
    <definedName name="TB58616e6f_9e0f_4a67_b5de_4c1fd9400a74" hidden="1">'104Q1資產負債表 -查核 '!$C$28</definedName>
    <definedName name="TB5a81a573_f587_4c33_ba7e_310e3e1d705c" hidden="1">'104Q1資產負債表 -查核 '!$C$22</definedName>
    <definedName name="TB5aa62b5d_0112_448a_93e9_ab76b739207d" hidden="1">'104Q1資產負債表 -查核 '!$C$41</definedName>
    <definedName name="TB5add98e4_50bd_423d_a9e1_a17d533ce0f8" hidden="1">'104Q1資產負債表 -查核 '!$R$26</definedName>
    <definedName name="TB5f8d5fd9_4dc5_458d_be37_06b538b9b16a" hidden="1">'104Q1資產負債表 -查核 '!$R$10</definedName>
    <definedName name="TB622c3ff6_7cb8_499d_b2f8_d31fb4e4d613" hidden="1">'104Q1資產負債表 -查核 '!$K$46</definedName>
    <definedName name="TB636fd13c_4ac3_4751_9461_79f2b97335d6" hidden="1">'104Q1損益表-查核'!#REF!</definedName>
    <definedName name="TB674bdbbb_cbcf_4294_b805_a18abeca0e8c" hidden="1">'104Q1資產負債表 -查核 '!$C$12</definedName>
    <definedName name="TB67c5172b_2275_4119_91cd_fe8b168e3a63" hidden="1">'104Q1資產負債表 -查核 '!$R$46</definedName>
    <definedName name="TB69a845e9_f82c_4b4b_9f9e_0bb358af470e" hidden="1">'104Q1資產負債表 -查核 '!$G$46</definedName>
    <definedName name="TB6f2f947b_e1c5_4e85_a9c5_8c4f939934ad" hidden="1">'104Q1資產負債表 -查核 '!$R$24</definedName>
    <definedName name="TB73bfc40a_1c10_4473_96c4_1cb3139d5d4e" hidden="1">'104Q1資產負債表 -查核 '!$V$46</definedName>
    <definedName name="TB7456134e_2c55_401f_b08c_a9006ed0a592" hidden="1">'104Q1資產負債表 -查核 '!$C$10</definedName>
    <definedName name="TB7737065e_5bbc_4a36_b6b9_0cc438505fac" hidden="1">'104Q1資產負債表 -查核 '!$G$55</definedName>
    <definedName name="TB7f0fc994_bd53_4852_82a7_952eed80cdae" hidden="1">'104Q1資產負債表 -查核 '!$C$24</definedName>
    <definedName name="TB7f95ea20_5c17_4c5d_bcc1_36097192b3e7" hidden="1">'104Q1資產負債表 -查核 '!$G$43</definedName>
    <definedName name="TB7fe565cd_013e_4079_a1b6_e3053852db15" hidden="1">'104Q1資產負債表 -查核 '!$V$48</definedName>
    <definedName name="TB838e67ba_8441_423f_8c7b_a8c41588a7a6" hidden="1">'104Q1資產負債表 -查核 '!$C$11</definedName>
    <definedName name="TB83b95974_e915_478f_a92e_1b2e2cc7a4ac" hidden="1">'104Q1資產負債表 -查核 '!$R$15</definedName>
    <definedName name="TB8b00bd86_ad0d_4a9d_8bd5_e3ca9bd7341b" hidden="1">'104Q1資產負債表 -查核 '!#REF!</definedName>
    <definedName name="TB8bf772d1_d91d_4f24_8983_31943dde75cd" hidden="1">'104Q1資產負債表 -查核 '!$R$45</definedName>
    <definedName name="TB8dd82877_77e4_489f_996d_7061c25195b5" hidden="1">'104Q1資產負債表 -查核 '!$K$44</definedName>
    <definedName name="TB9574688e_2fd9_44c7_b456_9b7064011f02" hidden="1">'104Q1損益表-查核'!$S$13</definedName>
    <definedName name="TB9605eba8_397b_480b_8dbe_d196b9442719" hidden="1">'104Q1資產負債表 -查核 '!$R$48</definedName>
    <definedName name="TB96995d09_fe1e_48f2_9e7b_d5a094b6ff37" hidden="1">'104Q1資產負債表 -查核 '!$G$41</definedName>
    <definedName name="TB9a0bb22c_2520_4325_a367_c8f42e0d312c" hidden="1">'104Q1資產負債表 -查核 '!$C$27</definedName>
    <definedName name="TB9cff57dc_0a00_4d58_b972_7d0457cece41" hidden="1">'104Q1資產負債表 -查核 '!$C$52</definedName>
    <definedName name="TBa0489db9_7551_4fb0_be96_6657f56e4108" hidden="1">'104Q1資產負債表 -查核 '!$C$40</definedName>
    <definedName name="TBa646ddf7_e5a1_4d8e_9dac_86d64f3ad511" hidden="1">'104Q1資產負債表 -查核 '!$Z$47</definedName>
    <definedName name="TBb050326c_3c0f_49b2_8910_6b0923d41d09" hidden="1">'104Q1資產負債表 -查核 '!$C$55</definedName>
    <definedName name="TBb1c5550d_80a4_405b_bf06_70eb68cad1ba" hidden="1">'104Q1資產負債表 -查核 '!$C$51</definedName>
    <definedName name="TBbe96507e_d6ca_4c81_971b_a3b30bfeb12b" hidden="1">'104Q1損益表-查核'!$S$8</definedName>
    <definedName name="TBbfe24f86_7d99_447b_b9b8_f96074b2a64d" hidden="1">'104Q1資產負債表 -查核 '!$C$46</definedName>
    <definedName name="TBc1fcf9c1_5095_4e9e_a12b_c873feecdf68" hidden="1">'104Q1資產負債表 -查核 '!$K$47</definedName>
    <definedName name="TBd83fd974_bd4f_4581_9e49_96fc79894247" hidden="1">'104Q1資產負債表 -查核 '!$R$22</definedName>
    <definedName name="TBd911f37e_f237_4cb9_8f84_b7d99b6cfc68" hidden="1">'104Q1資產負債表 -查核 '!#REF!</definedName>
    <definedName name="TBdb4c7014_ada8_4e96_909d_72e0d15dd927" hidden="1">'104Q1資產負債表 -查核 '!$C$44</definedName>
    <definedName name="TBdc862ee7_a0e6_4465_be8b_61d44385fc3c" hidden="1">'104Q1資產負債表 -查核 '!$G$47</definedName>
    <definedName name="TBdd2eae1c_9cff_4973_a83e_29e53a562376" hidden="1">'104Q1損益表-查核'!$S$9</definedName>
    <definedName name="TBdd5294c2_9dc6_401d_b279_2f8c56d861eb" hidden="1">'104Q1資產負債表 -查核 '!$C$43</definedName>
    <definedName name="TBdf10b36a_1ec0_4702_af9e_cb618a727537" hidden="1">'104Q1資產負債表 -查核 '!$G$52</definedName>
    <definedName name="TBe13347a4_cf67_4fc5_abd6_99ad4e3b3d7a" hidden="1">'104Q1資產負債表 -查核 '!$C$50</definedName>
    <definedName name="TBe3a70709_673f_4ff1_97db_e5d44ed08ee0" hidden="1">'104Q1資產負債表 -查核 '!$G$40</definedName>
    <definedName name="TBeaf2f307_6440_41d0_a171_5126ffd9be4e" hidden="1">'104Q1資產負債表 -查核 '!$R$16</definedName>
    <definedName name="TBef925e68_728f_4438_acda_a6e673836d21" hidden="1">'104Q1資產負債表 -查核 '!$G$50</definedName>
    <definedName name="TBf3aa72b9_767c_4ea1_9c31_fddc834bf774" hidden="1">'104Q1資產負債表 -查核 '!$R$52</definedName>
    <definedName name="TBfeecd82f_e78b_4ef5_b0c1_efac5642d67d" hidden="1">'104Q1資產負債表 -查核 '!$R$29</definedName>
  </definedNames>
  <calcPr fullCalcOnLoad="1"/>
</workbook>
</file>

<file path=xl/comments1.xml><?xml version="1.0" encoding="utf-8"?>
<comments xmlns="http://schemas.openxmlformats.org/spreadsheetml/2006/main">
  <authors>
    <author>Chunpei  Su - 蘇均佩</author>
  </authors>
  <commentList>
    <comment ref="A9" authorId="0">
      <text>
        <r>
          <rPr>
            <sz val="9"/>
            <color indexed="12"/>
            <rFont val="Tahoma"/>
            <family val="2"/>
          </rPr>
          <t>1102 1103 1106 1109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sz val="9"/>
            <color indexed="12"/>
            <rFont val="Tahoma"/>
            <family val="2"/>
          </rPr>
          <t>1114 1119</t>
        </r>
      </text>
    </comment>
    <comment ref="A11" authorId="0">
      <text>
        <r>
          <rPr>
            <sz val="9"/>
            <color indexed="12"/>
            <rFont val="Tahoma"/>
            <family val="2"/>
          </rPr>
          <t>1107 1108</t>
        </r>
      </text>
    </comment>
  </commentList>
</comments>
</file>

<file path=xl/sharedStrings.xml><?xml version="1.0" encoding="utf-8"?>
<sst xmlns="http://schemas.openxmlformats.org/spreadsheetml/2006/main" count="137" uniqueCount="87">
  <si>
    <t>-</t>
  </si>
  <si>
    <t>-</t>
  </si>
  <si>
    <r>
      <t>2210</t>
    </r>
    <r>
      <rPr>
        <sz val="10"/>
        <rFont val="新細明體"/>
        <family val="1"/>
      </rPr>
      <t>其他應付款項</t>
    </r>
  </si>
  <si>
    <r>
      <t>3350</t>
    </r>
    <r>
      <rPr>
        <sz val="10"/>
        <rFont val="新細明體"/>
        <family val="1"/>
      </rPr>
      <t>未提撥保留盈餘</t>
    </r>
  </si>
  <si>
    <r>
      <t>9600</t>
    </r>
    <r>
      <rPr>
        <sz val="10"/>
        <rFont val="新細明體"/>
        <family val="1"/>
      </rPr>
      <t>本期淨利</t>
    </r>
  </si>
  <si>
    <t>-</t>
  </si>
  <si>
    <r>
      <t>2170</t>
    </r>
    <r>
      <rPr>
        <sz val="10"/>
        <rFont val="新細明體"/>
        <family val="1"/>
      </rPr>
      <t>應付費用</t>
    </r>
  </si>
  <si>
    <r>
      <t>2229</t>
    </r>
    <r>
      <rPr>
        <sz val="10"/>
        <rFont val="新細明體"/>
        <family val="1"/>
      </rPr>
      <t>應付設備款</t>
    </r>
  </si>
  <si>
    <r>
      <t>2298</t>
    </r>
    <r>
      <rPr>
        <sz val="10"/>
        <rFont val="新細明體"/>
        <family val="1"/>
      </rPr>
      <t>其他流動負債</t>
    </r>
  </si>
  <si>
    <r>
      <t>2260</t>
    </r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</si>
  <si>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新光證券投資信託股份有限公司</t>
    </r>
  </si>
  <si>
    <r>
      <rPr>
        <sz val="10"/>
        <rFont val="新細明體"/>
        <family val="1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表</t>
    </r>
  </si>
  <si>
    <r>
      <rPr>
        <sz val="10"/>
        <rFont val="新細明體"/>
        <family val="1"/>
      </rPr>
      <t>單位：新台幣元</t>
    </r>
  </si>
  <si>
    <r>
      <rPr>
        <sz val="10"/>
        <rFont val="新細明體"/>
        <family val="1"/>
      </rPr>
      <t>資產</t>
    </r>
  </si>
  <si>
    <r>
      <rPr>
        <sz val="10"/>
        <rFont val="新細明體"/>
        <family val="1"/>
      </rPr>
      <t>金額</t>
    </r>
  </si>
  <si>
    <r>
      <rPr>
        <sz val="10"/>
        <rFont val="新細明體"/>
        <family val="1"/>
      </rPr>
      <t>％</t>
    </r>
  </si>
  <si>
    <r>
      <rPr>
        <sz val="10"/>
        <rFont val="新細明體"/>
        <family val="1"/>
      </rPr>
      <t>負債及權益</t>
    </r>
  </si>
  <si>
    <r>
      <rPr>
        <sz val="10"/>
        <rFont val="新細明體"/>
        <family val="1"/>
      </rPr>
      <t>流動資產</t>
    </r>
  </si>
  <si>
    <r>
      <rPr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</si>
  <si>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現金及約當現金</t>
    </r>
  </si>
  <si>
    <r>
      <rPr>
        <sz val="10"/>
        <rFont val="新細明體"/>
        <family val="1"/>
      </rPr>
      <t>其他應付款</t>
    </r>
  </si>
  <si>
    <r>
      <rPr>
        <sz val="10"/>
        <rFont val="新細明體"/>
        <family val="1"/>
      </rPr>
      <t>備供出售金融資產－流動</t>
    </r>
  </si>
  <si>
    <r>
      <rPr>
        <sz val="10"/>
        <rFont val="新細明體"/>
        <family val="1"/>
      </rPr>
      <t>當期所得稅負債</t>
    </r>
  </si>
  <si>
    <r>
      <rPr>
        <sz val="10"/>
        <rFont val="新細明體"/>
        <family val="1"/>
      </rPr>
      <t>無活絡市場之債券投資－流動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</si>
  <si>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</si>
  <si>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應收帳款</t>
    </r>
  </si>
  <si>
    <r>
      <rPr>
        <sz val="10"/>
        <rFont val="新細明體"/>
        <family val="1"/>
      </rPr>
      <t>流動負債合計</t>
    </r>
  </si>
  <si>
    <r>
      <rPr>
        <sz val="10"/>
        <rFont val="新細明體"/>
        <family val="1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</rPr>
      <t>關係人</t>
    </r>
  </si>
  <si>
    <r>
      <rPr>
        <sz val="10"/>
        <rFont val="新細明體"/>
        <family val="1"/>
      </rPr>
      <t>其他應收款</t>
    </r>
  </si>
  <si>
    <r>
      <rPr>
        <sz val="10"/>
        <rFont val="新細明體"/>
        <family val="1"/>
      </rPr>
      <t>非流動負債</t>
    </r>
  </si>
  <si>
    <r>
      <rPr>
        <sz val="10"/>
        <rFont val="新細明體"/>
        <family val="1"/>
      </rPr>
      <t>其他流動資產</t>
    </r>
  </si>
  <si>
    <r>
      <rPr>
        <sz val="10"/>
        <rFont val="新細明體"/>
        <family val="1"/>
      </rPr>
      <t>應計退休金負債</t>
    </r>
  </si>
  <si>
    <r>
      <rPr>
        <sz val="10"/>
        <rFont val="新細明體"/>
        <family val="1"/>
      </rPr>
      <t>流動資產合計</t>
    </r>
  </si>
  <si>
    <r>
      <rPr>
        <sz val="10"/>
        <rFont val="新細明體"/>
        <family val="1"/>
      </rPr>
      <t>　　負債合計</t>
    </r>
  </si>
  <si>
    <r>
      <rPr>
        <sz val="10"/>
        <rFont val="新細明體"/>
        <family val="1"/>
      </rPr>
      <t>非流動資產</t>
    </r>
  </si>
  <si>
    <r>
      <rPr>
        <sz val="10"/>
        <rFont val="新細明體"/>
        <family val="1"/>
      </rPr>
      <t>權益</t>
    </r>
  </si>
  <si>
    <r>
      <rPr>
        <sz val="10"/>
        <rFont val="新細明體"/>
        <family val="1"/>
      </rPr>
      <t>股　　本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</si>
  <si>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</si>
  <si>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股票發行溢價</t>
    </r>
  </si>
  <si>
    <r>
      <rPr>
        <sz val="10"/>
        <rFont val="新細明體"/>
        <family val="1"/>
      </rPr>
      <t>保留盈餘</t>
    </r>
  </si>
  <si>
    <r>
      <rPr>
        <sz val="10"/>
        <rFont val="新細明體"/>
        <family val="1"/>
      </rPr>
      <t>法定盈餘公積</t>
    </r>
  </si>
  <si>
    <r>
      <rPr>
        <sz val="10"/>
        <rFont val="新細明體"/>
        <family val="1"/>
      </rPr>
      <t>特別盈餘公積</t>
    </r>
  </si>
  <si>
    <r>
      <rPr>
        <sz val="10"/>
        <rFont val="新細明體"/>
        <family val="1"/>
      </rPr>
      <t>未分配盈餘</t>
    </r>
  </si>
  <si>
    <r>
      <t xml:space="preserve"> </t>
    </r>
    <r>
      <rPr>
        <sz val="10"/>
        <rFont val="新細明體"/>
        <family val="1"/>
      </rPr>
      <t>無形資產－電腦軟體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</si>
  <si>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</si>
  <si>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權益合計</t>
    </r>
  </si>
  <si>
    <r>
      <t xml:space="preserve"> </t>
    </r>
    <r>
      <rPr>
        <sz val="10"/>
        <rFont val="新細明體"/>
        <family val="1"/>
      </rPr>
      <t>其他資產</t>
    </r>
  </si>
  <si>
    <r>
      <t xml:space="preserve"> </t>
    </r>
    <r>
      <rPr>
        <sz val="10"/>
        <rFont val="新細明體"/>
        <family val="1"/>
      </rPr>
      <t>存出保證金</t>
    </r>
  </si>
  <si>
    <r>
      <t xml:space="preserve"> </t>
    </r>
    <r>
      <rPr>
        <sz val="10"/>
        <rFont val="新細明體"/>
        <family val="1"/>
      </rPr>
      <t>遞延所得稅資產－非流動</t>
    </r>
  </si>
  <si>
    <r>
      <rPr>
        <sz val="10"/>
        <rFont val="新細明體"/>
        <family val="1"/>
      </rPr>
      <t>其他資產合計</t>
    </r>
  </si>
  <si>
    <r>
      <rPr>
        <sz val="10"/>
        <rFont val="新細明體"/>
        <family val="1"/>
      </rPr>
      <t>非流動資產合計</t>
    </r>
  </si>
  <si>
    <r>
      <rPr>
        <sz val="10"/>
        <rFont val="新細明體"/>
        <family val="1"/>
      </rPr>
      <t>資　　產　　總　　計</t>
    </r>
  </si>
  <si>
    <r>
      <rPr>
        <sz val="10"/>
        <rFont val="新細明體"/>
        <family val="1"/>
      </rPr>
      <t>負債及權益總計</t>
    </r>
  </si>
  <si>
    <r>
      <rPr>
        <sz val="10"/>
        <rFont val="新細明體"/>
        <family val="1"/>
      </rPr>
      <t>應收退稅款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</si>
  <si>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日暨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日及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</si>
  <si>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</si>
  <si>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</si>
  <si>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</si>
  <si>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t>遞延收入－非流動</t>
  </si>
  <si>
    <t>不動產、廠房及設備</t>
  </si>
  <si>
    <t>-</t>
  </si>
  <si>
    <t>-</t>
  </si>
  <si>
    <r>
      <rPr>
        <sz val="10"/>
        <rFont val="新細明體"/>
        <family val="1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損　益　表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</si>
  <si>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</si>
  <si>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101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</si>
  <si>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</si>
  <si>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102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</si>
  <si>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</si>
  <si>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營業收入</t>
    </r>
  </si>
  <si>
    <r>
      <rPr>
        <sz val="10"/>
        <rFont val="新細明體"/>
        <family val="1"/>
      </rPr>
      <t>營業費用</t>
    </r>
  </si>
  <si>
    <r>
      <rPr>
        <sz val="10"/>
        <rFont val="新細明體"/>
        <family val="1"/>
      </rPr>
      <t>營業利益</t>
    </r>
  </si>
  <si>
    <r>
      <rPr>
        <sz val="10"/>
        <rFont val="新細明體"/>
        <family val="1"/>
      </rPr>
      <t>營業外收入及支出</t>
    </r>
  </si>
  <si>
    <r>
      <rPr>
        <sz val="10"/>
        <rFont val="新細明體"/>
        <family val="1"/>
      </rPr>
      <t>其他收入</t>
    </r>
  </si>
  <si>
    <r>
      <rPr>
        <sz val="10"/>
        <rFont val="新細明體"/>
        <family val="1"/>
      </rPr>
      <t>其他利益及損失</t>
    </r>
  </si>
  <si>
    <r>
      <rPr>
        <sz val="10"/>
        <rFont val="新細明體"/>
        <family val="1"/>
      </rPr>
      <t>營業外收入及利益合計</t>
    </r>
  </si>
  <si>
    <r>
      <rPr>
        <sz val="10"/>
        <rFont val="新細明體"/>
        <family val="1"/>
      </rPr>
      <t>稅前淨利</t>
    </r>
  </si>
  <si>
    <r>
      <rPr>
        <sz val="10"/>
        <rFont val="新細明體"/>
        <family val="1"/>
      </rPr>
      <t>所得稅費用</t>
    </r>
  </si>
  <si>
    <r>
      <rPr>
        <sz val="10"/>
        <rFont val="新細明體"/>
        <family val="1"/>
      </rPr>
      <t>本期淨利</t>
    </r>
  </si>
  <si>
    <r>
      <rPr>
        <sz val="10"/>
        <rFont val="新細明體"/>
        <family val="1"/>
      </rPr>
      <t>其他綜合損益</t>
    </r>
  </si>
  <si>
    <r>
      <rPr>
        <sz val="10"/>
        <rFont val="新細明體"/>
        <family val="1"/>
      </rPr>
      <t>備供出售金融資產未實現損益</t>
    </r>
  </si>
  <si>
    <r>
      <rPr>
        <sz val="10"/>
        <rFont val="新細明體"/>
        <family val="1"/>
      </rPr>
      <t>本期綜合損益</t>
    </r>
  </si>
  <si>
    <r>
      <rPr>
        <sz val="10"/>
        <rFont val="新細明體"/>
        <family val="1"/>
      </rPr>
      <t>一○三年第二季</t>
    </r>
  </si>
  <si>
    <r>
      <rPr>
        <sz val="10"/>
        <rFont val="新細明體"/>
        <family val="1"/>
      </rPr>
      <t>一○一年第一季</t>
    </r>
  </si>
  <si>
    <r>
      <rPr>
        <sz val="10"/>
        <rFont val="新細明體"/>
        <family val="1"/>
      </rPr>
      <t>稅前</t>
    </r>
  </si>
  <si>
    <r>
      <rPr>
        <sz val="10"/>
        <rFont val="新細明體"/>
        <family val="1"/>
      </rPr>
      <t>稅後</t>
    </r>
  </si>
  <si>
    <r>
      <rPr>
        <sz val="10"/>
        <rFont val="新細明體"/>
        <family val="1"/>
      </rPr>
      <t>基本每股盈餘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</si>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</sst>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.00_);[Red]\(&quot;$&quot;#,##0.00\)"/>
    <numFmt numFmtId="178" formatCode="_(* #,##0_);_(* \(#,##0\);_(* &quot;-&quot;_);_(@_)"/>
    <numFmt numFmtId="179" formatCode="#,##0_);\(#,##0\)"/>
    <numFmt numFmtId="180" formatCode="_-* #,##0_-;[Red]\(#,##0\);_-* &quot;-    &quot;_-"/>
    <numFmt numFmtId="181" formatCode="_-* #,##0.00000_-;[Red]\(#,##0.00000\);_-* &quot;-    &quot;_-"/>
    <numFmt numFmtId="182" formatCode="&quot;$&quot;#,##0.00_);\(&quot;$&quot;#,##0.00\)"/>
    <numFmt numFmtId="183" formatCode="_-* #,##0_-;[Black]\(#,##0\);_-* &quot;-    &quot;_-"/>
  </numFmts>
  <fonts count="46">
    <font>
      <sz val="10"/>
      <color indexed="8"/>
      <name val="MS Sans Serif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</font>
    <font>
      <sz val="10"/>
      <color indexed="12"/>
      <name val="Book Antiqua"/>
      <family val="1"/>
    </font>
    <font>
      <sz val="9"/>
      <name val="Tahoma"/>
      <family val="2"/>
    </font>
    <font>
      <sz val="9"/>
      <color indexed="12"/>
      <name val="Tahom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0" fontId="6" fillId="0" borderId="0" xfId="0" applyNumberFormat="1" applyFont="1" applyFill="1" applyBorder="1" applyAlignment="1">
      <alignment/>
    </xf>
    <xf numFmtId="180" fontId="7" fillId="0" borderId="0" xfId="33" applyNumberFormat="1" applyFont="1" applyFill="1" applyAlignment="1">
      <alignment horizontal="left" vertical="top" wrapText="1" indent="1"/>
      <protection/>
    </xf>
    <xf numFmtId="180" fontId="7" fillId="0" borderId="0" xfId="33" applyNumberFormat="1" applyFont="1" applyFill="1">
      <alignment vertical="center"/>
      <protection/>
    </xf>
    <xf numFmtId="180" fontId="7" fillId="0" borderId="0" xfId="33" applyNumberFormat="1" applyFont="1" applyFill="1" applyBorder="1">
      <alignment vertical="center"/>
      <protection/>
    </xf>
    <xf numFmtId="0" fontId="7" fillId="0" borderId="0" xfId="33" applyFont="1" applyFill="1">
      <alignment vertical="center"/>
      <protection/>
    </xf>
    <xf numFmtId="0" fontId="7" fillId="0" borderId="0" xfId="33" applyFont="1" applyFill="1" applyBorder="1">
      <alignment vertical="center"/>
      <protection/>
    </xf>
    <xf numFmtId="0" fontId="7" fillId="0" borderId="0" xfId="33" applyFont="1" applyFill="1" applyAlignment="1">
      <alignment horizontal="justify" vertical="top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justify" vertical="top"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justify" vertical="top" wrapText="1"/>
      <protection/>
    </xf>
    <xf numFmtId="0" fontId="7" fillId="0" borderId="12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left" vertical="top" wrapText="1" indent="1"/>
      <protection/>
    </xf>
    <xf numFmtId="0" fontId="7" fillId="0" borderId="0" xfId="33" applyFont="1" applyFill="1" applyAlignment="1">
      <alignment vertical="top" wrapText="1"/>
      <protection/>
    </xf>
    <xf numFmtId="0" fontId="7" fillId="0" borderId="0" xfId="33" applyFont="1" applyFill="1" applyAlignment="1">
      <alignment wrapText="1"/>
      <protection/>
    </xf>
    <xf numFmtId="0" fontId="7" fillId="0" borderId="0" xfId="33" applyFont="1" applyFill="1" applyBorder="1" applyAlignment="1">
      <alignment wrapText="1"/>
      <protection/>
    </xf>
    <xf numFmtId="0" fontId="7" fillId="0" borderId="0" xfId="33" applyFont="1" applyFill="1" applyAlignment="1">
      <alignment horizontal="left" vertical="top" wrapText="1" indent="2"/>
      <protection/>
    </xf>
    <xf numFmtId="180" fontId="7" fillId="0" borderId="0" xfId="33" applyNumberFormat="1" applyFont="1" applyFill="1" applyBorder="1" applyAlignment="1">
      <alignment wrapText="1"/>
      <protection/>
    </xf>
    <xf numFmtId="179" fontId="7" fillId="0" borderId="0" xfId="39" applyNumberFormat="1" applyFont="1" applyFill="1" applyBorder="1" applyAlignment="1">
      <alignment horizontal="right" vertical="center"/>
    </xf>
    <xf numFmtId="176" fontId="7" fillId="0" borderId="0" xfId="33" applyNumberFormat="1" applyFont="1" applyFill="1" applyAlignment="1">
      <alignment wrapText="1"/>
      <protection/>
    </xf>
    <xf numFmtId="3" fontId="7" fillId="0" borderId="0" xfId="33" applyNumberFormat="1" applyFont="1" applyFill="1" applyAlignment="1">
      <alignment wrapText="1"/>
      <protection/>
    </xf>
    <xf numFmtId="3" fontId="7" fillId="0" borderId="13" xfId="33" applyNumberFormat="1" applyFont="1" applyFill="1" applyBorder="1" applyAlignment="1">
      <alignment wrapText="1"/>
      <protection/>
    </xf>
    <xf numFmtId="179" fontId="7" fillId="0" borderId="13" xfId="39" applyNumberFormat="1" applyFont="1" applyFill="1" applyBorder="1" applyAlignment="1">
      <alignment horizontal="right" vertical="center"/>
    </xf>
    <xf numFmtId="0" fontId="7" fillId="0" borderId="0" xfId="33" applyFont="1" applyFill="1" applyBorder="1" applyAlignment="1">
      <alignment horizontal="center" wrapText="1"/>
      <protection/>
    </xf>
    <xf numFmtId="180" fontId="7" fillId="0" borderId="0" xfId="33" applyNumberFormat="1" applyFont="1" applyFill="1" applyAlignment="1">
      <alignment wrapText="1"/>
      <protection/>
    </xf>
    <xf numFmtId="0" fontId="7" fillId="0" borderId="0" xfId="33" applyFont="1" applyFill="1" applyAlignment="1">
      <alignment horizontal="left" vertical="top" wrapText="1" indent="4"/>
      <protection/>
    </xf>
    <xf numFmtId="3" fontId="7" fillId="0" borderId="14" xfId="33" applyNumberFormat="1" applyFont="1" applyFill="1" applyBorder="1" applyAlignment="1">
      <alignment wrapText="1"/>
      <protection/>
    </xf>
    <xf numFmtId="178" fontId="7" fillId="0" borderId="0" xfId="33" applyNumberFormat="1" applyFont="1" applyFill="1" applyAlignment="1">
      <alignment wrapText="1"/>
      <protection/>
    </xf>
    <xf numFmtId="180" fontId="7" fillId="0" borderId="13" xfId="33" applyNumberFormat="1" applyFont="1" applyFill="1" applyBorder="1" applyAlignment="1">
      <alignment wrapText="1"/>
      <protection/>
    </xf>
    <xf numFmtId="3" fontId="7" fillId="0" borderId="0" xfId="33" applyNumberFormat="1" applyFont="1" applyFill="1" applyBorder="1" applyAlignment="1">
      <alignment wrapText="1"/>
      <protection/>
    </xf>
    <xf numFmtId="3" fontId="7" fillId="0" borderId="0" xfId="33" applyNumberFormat="1" applyFont="1" applyFill="1">
      <alignment vertical="center"/>
      <protection/>
    </xf>
    <xf numFmtId="179" fontId="7" fillId="0" borderId="0" xfId="33" applyNumberFormat="1" applyFont="1" applyFill="1" applyAlignment="1">
      <alignment wrapText="1"/>
      <protection/>
    </xf>
    <xf numFmtId="179" fontId="7" fillId="0" borderId="0" xfId="33" applyNumberFormat="1" applyFont="1" applyFill="1" applyBorder="1" applyAlignment="1">
      <alignment wrapText="1"/>
      <protection/>
    </xf>
    <xf numFmtId="179" fontId="7" fillId="0" borderId="14" xfId="39" applyNumberFormat="1" applyFont="1" applyFill="1" applyBorder="1" applyAlignment="1">
      <alignment horizontal="right" vertical="center"/>
    </xf>
    <xf numFmtId="0" fontId="7" fillId="0" borderId="14" xfId="33" applyFont="1" applyFill="1" applyBorder="1" applyAlignment="1">
      <alignment wrapText="1"/>
      <protection/>
    </xf>
    <xf numFmtId="0" fontId="7" fillId="0" borderId="0" xfId="33" applyFont="1" applyFill="1" applyBorder="1" applyAlignment="1">
      <alignment vertical="top" wrapText="1"/>
      <protection/>
    </xf>
    <xf numFmtId="176" fontId="7" fillId="0" borderId="15" xfId="33" applyNumberFormat="1" applyFont="1" applyFill="1" applyBorder="1" applyAlignment="1">
      <alignment wrapText="1"/>
      <protection/>
    </xf>
    <xf numFmtId="0" fontId="7" fillId="0" borderId="15" xfId="33" applyFont="1" applyFill="1" applyBorder="1" applyAlignment="1">
      <alignment wrapText="1"/>
      <protection/>
    </xf>
    <xf numFmtId="176" fontId="7" fillId="0" borderId="0" xfId="33" applyNumberFormat="1" applyFont="1" applyFill="1">
      <alignment vertical="center"/>
      <protection/>
    </xf>
    <xf numFmtId="39" fontId="7" fillId="0" borderId="0" xfId="33" applyNumberFormat="1" applyFont="1" applyFill="1" applyBorder="1">
      <alignment vertical="center"/>
      <protection/>
    </xf>
    <xf numFmtId="39" fontId="7" fillId="0" borderId="0" xfId="33" applyNumberFormat="1" applyFont="1" applyFill="1" applyBorder="1" applyAlignment="1">
      <alignment wrapText="1"/>
      <protection/>
    </xf>
    <xf numFmtId="180" fontId="6" fillId="0" borderId="0" xfId="0" applyNumberFormat="1" applyFont="1" applyFill="1" applyAlignment="1">
      <alignment/>
    </xf>
    <xf numFmtId="180" fontId="7" fillId="0" borderId="14" xfId="33" applyNumberFormat="1" applyFont="1" applyFill="1" applyBorder="1" applyAlignment="1">
      <alignment wrapText="1"/>
      <protection/>
    </xf>
    <xf numFmtId="180" fontId="7" fillId="0" borderId="15" xfId="33" applyNumberFormat="1" applyFont="1" applyFill="1" applyBorder="1" applyAlignment="1">
      <alignment wrapText="1"/>
      <protection/>
    </xf>
    <xf numFmtId="39" fontId="6" fillId="0" borderId="0" xfId="0" applyNumberFormat="1" applyFont="1" applyFill="1" applyBorder="1" applyAlignment="1">
      <alignment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0" xfId="33" applyFont="1" applyFill="1" applyBorder="1" applyAlignment="1">
      <alignment horizontal="right" wrapText="1"/>
      <protection/>
    </xf>
    <xf numFmtId="0" fontId="8" fillId="0" borderId="0" xfId="33" applyFont="1" applyFill="1" applyAlignment="1">
      <alignment horizontal="left" vertical="top" wrapText="1" indent="1"/>
      <protection/>
    </xf>
    <xf numFmtId="180" fontId="7" fillId="0" borderId="13" xfId="39" applyNumberFormat="1" applyFont="1" applyFill="1" applyBorder="1" applyAlignment="1">
      <alignment horizontal="right" vertical="center"/>
    </xf>
    <xf numFmtId="180" fontId="7" fillId="0" borderId="0" xfId="39" applyNumberFormat="1" applyFont="1" applyFill="1" applyBorder="1" applyAlignment="1">
      <alignment horizontal="right" vertical="center"/>
    </xf>
    <xf numFmtId="0" fontId="7" fillId="0" borderId="0" xfId="33" applyFont="1" applyFill="1" applyAlignment="1">
      <alignment horizontal="justify" vertical="center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justify" wrapText="1"/>
      <protection/>
    </xf>
    <xf numFmtId="179" fontId="7" fillId="0" borderId="13" xfId="33" applyNumberFormat="1" applyFont="1" applyFill="1" applyBorder="1" applyAlignment="1">
      <alignment wrapText="1"/>
      <protection/>
    </xf>
    <xf numFmtId="179" fontId="7" fillId="0" borderId="0" xfId="33" applyNumberFormat="1" applyFont="1" applyFill="1" applyAlignment="1">
      <alignment horizontal="justify" wrapText="1"/>
      <protection/>
    </xf>
    <xf numFmtId="179" fontId="7" fillId="0" borderId="0" xfId="33" applyNumberFormat="1" applyFont="1" applyFill="1">
      <alignment vertical="center"/>
      <protection/>
    </xf>
    <xf numFmtId="3" fontId="9" fillId="0" borderId="0" xfId="33" applyNumberFormat="1" applyFont="1" applyFill="1" applyAlignment="1">
      <alignment wrapText="1"/>
      <protection/>
    </xf>
    <xf numFmtId="0" fontId="7" fillId="0" borderId="0" xfId="33" applyFont="1" applyFill="1" applyAlignment="1">
      <alignment horizontal="center" wrapText="1"/>
      <protection/>
    </xf>
    <xf numFmtId="0" fontId="7" fillId="0" borderId="13" xfId="33" applyFont="1" applyFill="1" applyBorder="1" applyAlignment="1">
      <alignment horizontal="center" wrapText="1"/>
      <protection/>
    </xf>
    <xf numFmtId="0" fontId="7" fillId="0" borderId="13" xfId="33" applyFont="1" applyFill="1" applyBorder="1" applyAlignment="1">
      <alignment wrapText="1"/>
      <protection/>
    </xf>
    <xf numFmtId="38" fontId="7" fillId="0" borderId="13" xfId="33" applyNumberFormat="1" applyFont="1" applyFill="1" applyBorder="1" applyAlignment="1">
      <alignment wrapText="1"/>
      <protection/>
    </xf>
    <xf numFmtId="1" fontId="7" fillId="0" borderId="13" xfId="33" applyNumberFormat="1" applyFont="1" applyFill="1" applyBorder="1" applyAlignment="1">
      <alignment wrapText="1"/>
      <protection/>
    </xf>
    <xf numFmtId="176" fontId="7" fillId="0" borderId="0" xfId="33" applyNumberFormat="1" applyFont="1" applyFill="1" applyBorder="1" applyAlignment="1">
      <alignment wrapText="1"/>
      <protection/>
    </xf>
    <xf numFmtId="1" fontId="7" fillId="0" borderId="0" xfId="33" applyNumberFormat="1" applyFont="1" applyFill="1" applyBorder="1" applyAlignment="1">
      <alignment wrapText="1"/>
      <protection/>
    </xf>
    <xf numFmtId="1" fontId="7" fillId="0" borderId="15" xfId="33" applyNumberFormat="1" applyFont="1" applyFill="1" applyBorder="1" applyAlignment="1">
      <alignment wrapText="1"/>
      <protection/>
    </xf>
    <xf numFmtId="0" fontId="7" fillId="0" borderId="10" xfId="33" applyFont="1" applyFill="1" applyBorder="1" applyAlignment="1">
      <alignment horizontal="center" wrapText="1"/>
      <protection/>
    </xf>
    <xf numFmtId="177" fontId="7" fillId="0" borderId="16" xfId="33" applyNumberFormat="1" applyFont="1" applyFill="1" applyBorder="1" applyAlignment="1">
      <alignment wrapText="1"/>
      <protection/>
    </xf>
    <xf numFmtId="181" fontId="7" fillId="0" borderId="0" xfId="39" applyNumberFormat="1" applyFont="1" applyFill="1">
      <alignment horizontal="left" vertical="center"/>
    </xf>
    <xf numFmtId="180" fontId="7" fillId="0" borderId="10" xfId="33" applyNumberFormat="1" applyFont="1" applyFill="1" applyBorder="1" applyAlignment="1">
      <alignment horizontal="center" vertical="top" wrapText="1"/>
      <protection/>
    </xf>
    <xf numFmtId="183" fontId="7" fillId="0" borderId="0" xfId="33" applyNumberFormat="1" applyFont="1" applyFill="1" applyAlignment="1">
      <alignment wrapText="1"/>
      <protection/>
    </xf>
    <xf numFmtId="183" fontId="7" fillId="0" borderId="13" xfId="33" applyNumberFormat="1" applyFont="1" applyFill="1" applyBorder="1" applyAlignment="1">
      <alignment wrapText="1"/>
      <protection/>
    </xf>
    <xf numFmtId="183" fontId="6" fillId="0" borderId="0" xfId="0" applyNumberFormat="1" applyFont="1" applyFill="1" applyAlignment="1">
      <alignment/>
    </xf>
    <xf numFmtId="183" fontId="7" fillId="0" borderId="14" xfId="33" applyNumberFormat="1" applyFont="1" applyFill="1" applyBorder="1" applyAlignment="1">
      <alignment wrapText="1"/>
      <protection/>
    </xf>
    <xf numFmtId="183" fontId="7" fillId="0" borderId="0" xfId="33" applyNumberFormat="1" applyFont="1" applyFill="1" applyBorder="1" applyAlignment="1">
      <alignment wrapText="1"/>
      <protection/>
    </xf>
    <xf numFmtId="183" fontId="7" fillId="0" borderId="15" xfId="33" applyNumberFormat="1" applyFont="1" applyFill="1" applyBorder="1" applyAlignment="1">
      <alignment wrapText="1"/>
      <protection/>
    </xf>
    <xf numFmtId="183" fontId="6" fillId="0" borderId="0" xfId="0" applyNumberFormat="1" applyFont="1" applyFill="1" applyBorder="1" applyAlignment="1">
      <alignment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right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第一季-給金控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S_FUNCTION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MS_FUNCTIONS"/>
    </sheetNames>
    <definedNames>
      <definedName name="TB_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AC3"/>
    </sheetView>
  </sheetViews>
  <sheetFormatPr defaultColWidth="10.28125" defaultRowHeight="15" customHeight="1"/>
  <cols>
    <col min="1" max="1" width="38.28125" style="5" customWidth="1"/>
    <col min="2" max="2" width="2.7109375" style="5" customWidth="1"/>
    <col min="3" max="3" width="16.8515625" style="5" bestFit="1" customWidth="1"/>
    <col min="4" max="4" width="3.140625" style="5" customWidth="1"/>
    <col min="5" max="5" width="10.00390625" style="5" customWidth="1"/>
    <col min="6" max="6" width="2.28125" style="5" customWidth="1"/>
    <col min="7" max="7" width="16.8515625" style="5" bestFit="1" customWidth="1"/>
    <col min="8" max="8" width="3.140625" style="5" customWidth="1"/>
    <col min="9" max="9" width="12.00390625" style="5" customWidth="1"/>
    <col min="10" max="10" width="2.7109375" style="5" customWidth="1"/>
    <col min="11" max="11" width="15.57421875" style="5" bestFit="1" customWidth="1"/>
    <col min="12" max="12" width="3.140625" style="5" customWidth="1"/>
    <col min="13" max="13" width="8.140625" style="5" customWidth="1"/>
    <col min="14" max="14" width="2.7109375" style="5" customWidth="1"/>
    <col min="15" max="15" width="5.421875" style="5" customWidth="1"/>
    <col min="16" max="16" width="25.8515625" style="5" customWidth="1"/>
    <col min="17" max="17" width="3.28125" style="5" customWidth="1"/>
    <col min="18" max="18" width="16.8515625" style="5" bestFit="1" customWidth="1"/>
    <col min="19" max="19" width="4.7109375" style="5" customWidth="1"/>
    <col min="20" max="20" width="7.28125" style="5" customWidth="1"/>
    <col min="21" max="21" width="1.7109375" style="5" customWidth="1"/>
    <col min="22" max="22" width="16.8515625" style="5" bestFit="1" customWidth="1"/>
    <col min="23" max="23" width="4.7109375" style="5" customWidth="1"/>
    <col min="24" max="24" width="10.7109375" style="5" customWidth="1"/>
    <col min="25" max="25" width="2.00390625" style="6" customWidth="1"/>
    <col min="26" max="26" width="16.28125" style="5" bestFit="1" customWidth="1"/>
    <col min="27" max="27" width="4.7109375" style="5" customWidth="1"/>
    <col min="28" max="28" width="7.28125" style="5" customWidth="1"/>
    <col min="29" max="29" width="1.8515625" style="5" customWidth="1"/>
    <col min="30" max="30" width="12.28125" style="5" bestFit="1" customWidth="1"/>
    <col min="31" max="31" width="13.8515625" style="5" bestFit="1" customWidth="1"/>
    <col min="32" max="16384" width="10.28125" style="5" customWidth="1"/>
  </cols>
  <sheetData>
    <row r="1" spans="1:29" ht="15" customHeight="1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15" customHeight="1">
      <c r="A2" s="79" t="s">
        <v>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5" customHeight="1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15" customHeight="1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6" spans="1:29" ht="15" customHeight="1" thickBot="1">
      <c r="A6" s="7"/>
      <c r="B6" s="7"/>
      <c r="C6" s="78" t="s">
        <v>55</v>
      </c>
      <c r="D6" s="78"/>
      <c r="E6" s="78"/>
      <c r="F6" s="7"/>
      <c r="G6" s="78" t="s">
        <v>56</v>
      </c>
      <c r="H6" s="78"/>
      <c r="I6" s="78"/>
      <c r="J6" s="7"/>
      <c r="K6" s="78" t="s">
        <v>57</v>
      </c>
      <c r="L6" s="78"/>
      <c r="M6" s="78"/>
      <c r="N6" s="7"/>
      <c r="O6" s="7"/>
      <c r="P6" s="7"/>
      <c r="Q6" s="7"/>
      <c r="R6" s="78" t="str">
        <f>C6</f>
        <v>104年3月31日</v>
      </c>
      <c r="S6" s="78"/>
      <c r="T6" s="78"/>
      <c r="U6" s="7"/>
      <c r="V6" s="78" t="str">
        <f>G6</f>
        <v>103年12月31日</v>
      </c>
      <c r="W6" s="78"/>
      <c r="X6" s="78"/>
      <c r="Y6" s="8"/>
      <c r="Z6" s="78" t="str">
        <f>K6</f>
        <v>103年3月31日</v>
      </c>
      <c r="AA6" s="78"/>
      <c r="AB6" s="78"/>
      <c r="AC6" s="9"/>
    </row>
    <row r="7" spans="1:29" ht="15" customHeight="1" thickBot="1">
      <c r="A7" s="10" t="s">
        <v>13</v>
      </c>
      <c r="B7" s="7"/>
      <c r="C7" s="11" t="s">
        <v>14</v>
      </c>
      <c r="D7" s="12"/>
      <c r="E7" s="13" t="s">
        <v>15</v>
      </c>
      <c r="F7" s="7"/>
      <c r="G7" s="11" t="s">
        <v>14</v>
      </c>
      <c r="H7" s="12"/>
      <c r="I7" s="13" t="s">
        <v>15</v>
      </c>
      <c r="J7" s="7"/>
      <c r="K7" s="11" t="s">
        <v>14</v>
      </c>
      <c r="L7" s="12"/>
      <c r="M7" s="13" t="s">
        <v>15</v>
      </c>
      <c r="N7" s="7"/>
      <c r="O7" s="7"/>
      <c r="P7" s="10" t="s">
        <v>16</v>
      </c>
      <c r="Q7" s="7"/>
      <c r="R7" s="11" t="s">
        <v>14</v>
      </c>
      <c r="S7" s="12"/>
      <c r="T7" s="13" t="s">
        <v>15</v>
      </c>
      <c r="U7" s="7"/>
      <c r="V7" s="11" t="s">
        <v>14</v>
      </c>
      <c r="W7" s="12"/>
      <c r="X7" s="13" t="s">
        <v>15</v>
      </c>
      <c r="Y7" s="8"/>
      <c r="Z7" s="11" t="s">
        <v>14</v>
      </c>
      <c r="AA7" s="12"/>
      <c r="AB7" s="13" t="s">
        <v>15</v>
      </c>
      <c r="AC7" s="7"/>
    </row>
    <row r="8" spans="1:29" ht="15" customHeight="1">
      <c r="A8" s="14" t="s">
        <v>17</v>
      </c>
      <c r="B8" s="15"/>
      <c r="C8" s="16"/>
      <c r="D8" s="16"/>
      <c r="E8" s="16"/>
      <c r="F8" s="15"/>
      <c r="G8" s="16"/>
      <c r="H8" s="16"/>
      <c r="I8" s="16"/>
      <c r="J8" s="15"/>
      <c r="K8" s="16"/>
      <c r="L8" s="16"/>
      <c r="M8" s="16"/>
      <c r="N8" s="16"/>
      <c r="O8" s="15"/>
      <c r="P8" s="14" t="s">
        <v>18</v>
      </c>
      <c r="Q8" s="15"/>
      <c r="R8" s="16"/>
      <c r="S8" s="16"/>
      <c r="T8" s="16"/>
      <c r="U8" s="15"/>
      <c r="V8" s="16"/>
      <c r="W8" s="16"/>
      <c r="X8" s="16"/>
      <c r="Y8" s="17"/>
      <c r="Z8" s="16"/>
      <c r="AA8" s="16"/>
      <c r="AB8" s="16"/>
      <c r="AC8" s="16"/>
    </row>
    <row r="9" spans="1:29" ht="15" customHeight="1">
      <c r="A9" s="18" t="s">
        <v>19</v>
      </c>
      <c r="B9" s="15"/>
      <c r="C9" s="19">
        <f>[1]!TB_LINK("108171384.0000")</f>
        <v>108171384</v>
      </c>
      <c r="D9" s="16"/>
      <c r="E9" s="20">
        <f>ROUNDUP(C9*100/$C$32,0)</f>
        <v>16</v>
      </c>
      <c r="F9" s="15"/>
      <c r="G9" s="19">
        <v>86428163</v>
      </c>
      <c r="H9" s="16"/>
      <c r="I9" s="20">
        <f>ROUND(G9*100/$G$32,0)</f>
        <v>12</v>
      </c>
      <c r="J9" s="15"/>
      <c r="K9" s="21">
        <v>112579971</v>
      </c>
      <c r="L9" s="16"/>
      <c r="M9" s="20">
        <f>ROUND(K9*100/$K$32,0)</f>
        <v>15</v>
      </c>
      <c r="N9" s="16"/>
      <c r="O9" s="15"/>
      <c r="P9" s="18" t="s">
        <v>20</v>
      </c>
      <c r="Q9" s="15"/>
      <c r="R9" s="26">
        <f>R43</f>
        <v>15979225</v>
      </c>
      <c r="S9" s="16"/>
      <c r="T9" s="51">
        <f>ROUND(R9*100/$R$32,0)</f>
        <v>2</v>
      </c>
      <c r="U9" s="15"/>
      <c r="V9" s="26">
        <v>39175787</v>
      </c>
      <c r="W9" s="16"/>
      <c r="X9" s="20">
        <f>ROUND(V9*100/$V$32,0)</f>
        <v>5</v>
      </c>
      <c r="Y9" s="17"/>
      <c r="Z9" s="26">
        <v>34901346</v>
      </c>
      <c r="AA9" s="16"/>
      <c r="AB9" s="20">
        <f>ROUND(Z9*100/$Z$32,0)</f>
        <v>5</v>
      </c>
      <c r="AC9" s="16"/>
    </row>
    <row r="10" spans="1:29" ht="15" customHeight="1">
      <c r="A10" s="18" t="s">
        <v>21</v>
      </c>
      <c r="B10" s="15"/>
      <c r="C10" s="19">
        <f>[1]!TB_LINK("21542187.0000")</f>
        <v>21542187</v>
      </c>
      <c r="D10" s="16"/>
      <c r="E10" s="20">
        <f>ROUND(C10*100/$C$32,0)</f>
        <v>3</v>
      </c>
      <c r="F10" s="15"/>
      <c r="G10" s="19">
        <v>20614239</v>
      </c>
      <c r="H10" s="16"/>
      <c r="I10" s="20">
        <f>ROUND(G10*100/$G$32,0)</f>
        <v>3</v>
      </c>
      <c r="J10" s="15"/>
      <c r="K10" s="22">
        <v>31571756</v>
      </c>
      <c r="L10" s="16"/>
      <c r="M10" s="20">
        <f>ROUNDUP(K10*100/$K$32,0)</f>
        <v>5</v>
      </c>
      <c r="N10" s="16"/>
      <c r="O10" s="15"/>
      <c r="P10" s="18" t="s">
        <v>22</v>
      </c>
      <c r="Q10" s="15"/>
      <c r="R10" s="19">
        <f>-[1]!TB_LINK("-30279660.0000")</f>
        <v>30279660</v>
      </c>
      <c r="S10" s="16"/>
      <c r="T10" s="51">
        <f>ROUND(R10*100/$R$32,0)</f>
        <v>4</v>
      </c>
      <c r="U10" s="15"/>
      <c r="V10" s="19">
        <v>29569696</v>
      </c>
      <c r="W10" s="16"/>
      <c r="X10" s="20">
        <f>ROUND(V10*100/$V$32,0)</f>
        <v>4</v>
      </c>
      <c r="Y10" s="17"/>
      <c r="Z10" s="19">
        <v>25460569</v>
      </c>
      <c r="AA10" s="16"/>
      <c r="AB10" s="20">
        <f>ROUND(Z10*100/$Z$32,0)</f>
        <v>3</v>
      </c>
      <c r="AC10" s="16"/>
    </row>
    <row r="11" spans="1:29" ht="15" customHeight="1">
      <c r="A11" s="18" t="s">
        <v>23</v>
      </c>
      <c r="B11" s="15"/>
      <c r="C11" s="19">
        <f>[1]!TB_LINK("423116304.0000")</f>
        <v>423116304</v>
      </c>
      <c r="D11" s="16"/>
      <c r="E11" s="20">
        <f>ROUND(C11*100/$C$32,0)</f>
        <v>59</v>
      </c>
      <c r="F11" s="15"/>
      <c r="G11" s="19">
        <v>462838878</v>
      </c>
      <c r="H11" s="16"/>
      <c r="I11" s="20">
        <f>ROUND(G11*100/$G$32,0)</f>
        <v>64</v>
      </c>
      <c r="J11" s="15"/>
      <c r="K11" s="22">
        <v>384179722</v>
      </c>
      <c r="L11" s="16"/>
      <c r="M11" s="20">
        <f>ROUND(K11*100/$K$32,0)</f>
        <v>52</v>
      </c>
      <c r="N11" s="16"/>
      <c r="O11" s="15"/>
      <c r="P11" s="18" t="s">
        <v>24</v>
      </c>
      <c r="Q11" s="15"/>
      <c r="R11" s="19">
        <f>SUM(R47:R48,R45)</f>
        <v>31689434</v>
      </c>
      <c r="S11" s="17"/>
      <c r="T11" s="51">
        <f>ROUND(R11*100/$R$32,0)</f>
        <v>4</v>
      </c>
      <c r="U11" s="37"/>
      <c r="V11" s="19">
        <v>9000823</v>
      </c>
      <c r="W11" s="17"/>
      <c r="X11" s="50" t="s">
        <v>0</v>
      </c>
      <c r="Y11" s="25"/>
      <c r="Z11" s="19">
        <v>99233902</v>
      </c>
      <c r="AA11" s="17"/>
      <c r="AB11" s="51" t="s">
        <v>0</v>
      </c>
      <c r="AC11" s="16"/>
    </row>
    <row r="12" spans="1:29" ht="15" customHeight="1">
      <c r="A12" s="18" t="s">
        <v>25</v>
      </c>
      <c r="B12" s="15"/>
      <c r="C12" s="19">
        <f>[1]!TB_LINK("16492467.0000")-C13</f>
        <v>15375756</v>
      </c>
      <c r="D12" s="16"/>
      <c r="E12" s="20">
        <f>ROUND(C12*100/$C$32,0)</f>
        <v>2</v>
      </c>
      <c r="F12" s="15"/>
      <c r="G12" s="19">
        <v>14920850</v>
      </c>
      <c r="H12" s="16"/>
      <c r="I12" s="20">
        <f>ROUND(G12*100/$G$32,0)</f>
        <v>2</v>
      </c>
      <c r="J12" s="15"/>
      <c r="K12" s="22">
        <v>16230883</v>
      </c>
      <c r="L12" s="16"/>
      <c r="M12" s="20">
        <f>ROUNDUP(K12*100/$K$32,0)</f>
        <v>3</v>
      </c>
      <c r="N12" s="16"/>
      <c r="O12" s="15"/>
      <c r="P12" s="27" t="s">
        <v>26</v>
      </c>
      <c r="Q12" s="15"/>
      <c r="R12" s="44">
        <f>SUM(R9:R11)</f>
        <v>77948319</v>
      </c>
      <c r="S12" s="16"/>
      <c r="T12" s="44">
        <f>SUM(T9:T11)</f>
        <v>10</v>
      </c>
      <c r="U12" s="15"/>
      <c r="V12" s="44">
        <f>SUM(V9:V11)</f>
        <v>77746306</v>
      </c>
      <c r="W12" s="16"/>
      <c r="X12" s="24">
        <f>ROUND(V12*100/$V$32,0)+1</f>
        <v>12</v>
      </c>
      <c r="Y12" s="17"/>
      <c r="Z12" s="44">
        <f>SUM(Z9:Z11)</f>
        <v>159595817</v>
      </c>
      <c r="AA12" s="16"/>
      <c r="AB12" s="24">
        <f>ROUND(Z12*100/$Z$32,0)</f>
        <v>22</v>
      </c>
      <c r="AC12" s="16"/>
    </row>
    <row r="13" spans="1:29" ht="15" customHeight="1">
      <c r="A13" s="18" t="s">
        <v>27</v>
      </c>
      <c r="B13" s="15"/>
      <c r="C13" s="26">
        <v>1116711</v>
      </c>
      <c r="D13" s="16"/>
      <c r="E13" s="20" t="s">
        <v>1</v>
      </c>
      <c r="F13" s="15"/>
      <c r="G13" s="26">
        <v>1059452</v>
      </c>
      <c r="H13" s="16"/>
      <c r="I13" s="20">
        <f>ROUND(G13*100/$G$32,0)+1</f>
        <v>1</v>
      </c>
      <c r="J13" s="15"/>
      <c r="K13" s="22">
        <v>1050000</v>
      </c>
      <c r="L13" s="16"/>
      <c r="M13" s="20" t="s">
        <v>1</v>
      </c>
      <c r="O13" s="15"/>
      <c r="T13" s="3"/>
      <c r="AC13" s="16"/>
    </row>
    <row r="14" spans="1:29" ht="15" customHeight="1">
      <c r="A14" s="18" t="s">
        <v>28</v>
      </c>
      <c r="B14" s="15"/>
      <c r="C14" s="26">
        <f>C43</f>
        <v>382408</v>
      </c>
      <c r="D14" s="16"/>
      <c r="E14" s="20" t="s">
        <v>1</v>
      </c>
      <c r="F14" s="15"/>
      <c r="G14" s="26">
        <v>352018</v>
      </c>
      <c r="H14" s="16"/>
      <c r="I14" s="20" t="s">
        <v>1</v>
      </c>
      <c r="J14" s="15"/>
      <c r="K14" s="29">
        <v>322495</v>
      </c>
      <c r="L14" s="16"/>
      <c r="M14" s="20" t="s">
        <v>1</v>
      </c>
      <c r="N14" s="17"/>
      <c r="O14" s="15"/>
      <c r="P14" s="14" t="s">
        <v>29</v>
      </c>
      <c r="Q14" s="15"/>
      <c r="R14" s="26"/>
      <c r="S14" s="16"/>
      <c r="T14" s="26"/>
      <c r="U14" s="15"/>
      <c r="V14" s="26"/>
      <c r="W14" s="16"/>
      <c r="X14" s="16"/>
      <c r="Y14" s="17"/>
      <c r="Z14" s="26"/>
      <c r="AA14" s="16"/>
      <c r="AB14" s="16"/>
      <c r="AC14" s="16"/>
    </row>
    <row r="15" spans="1:29" ht="15" customHeight="1">
      <c r="A15" s="18" t="s">
        <v>30</v>
      </c>
      <c r="B15" s="15"/>
      <c r="C15" s="30">
        <f>SUM(C46:C47,C44)</f>
        <v>5172610</v>
      </c>
      <c r="D15" s="17"/>
      <c r="E15" s="24">
        <f>ROUND(C15*100/$C$32,0)</f>
        <v>1</v>
      </c>
      <c r="F15" s="15"/>
      <c r="G15" s="30">
        <v>5017243</v>
      </c>
      <c r="H15" s="17"/>
      <c r="I15" s="24" t="s">
        <v>1</v>
      </c>
      <c r="J15" s="15"/>
      <c r="K15" s="23">
        <v>12240966</v>
      </c>
      <c r="L15" s="17"/>
      <c r="M15" s="24" t="s">
        <v>1</v>
      </c>
      <c r="N15" s="17"/>
      <c r="O15" s="15"/>
      <c r="P15" s="18" t="s">
        <v>31</v>
      </c>
      <c r="Q15" s="15"/>
      <c r="R15" s="19">
        <f>-[1]!TB_LINK("-12072956.0000")</f>
        <v>12072956</v>
      </c>
      <c r="S15" s="17"/>
      <c r="T15" s="51">
        <f>ROUND(R15*100/$R$32,0)</f>
        <v>2</v>
      </c>
      <c r="U15" s="37"/>
      <c r="V15" s="19">
        <v>10744227</v>
      </c>
      <c r="W15" s="17"/>
      <c r="X15" s="48">
        <f>ROUND(V15*100/$V$32,0)</f>
        <v>1</v>
      </c>
      <c r="Y15" s="25"/>
      <c r="Z15" s="19">
        <v>9324119</v>
      </c>
      <c r="AA15" s="17"/>
      <c r="AB15" s="48" t="s">
        <v>60</v>
      </c>
      <c r="AC15" s="16"/>
    </row>
    <row r="16" spans="1:29" ht="15" customHeight="1">
      <c r="A16" s="27" t="s">
        <v>32</v>
      </c>
      <c r="B16" s="15"/>
      <c r="C16" s="30">
        <f>SUM(C9:C15)</f>
        <v>574877360</v>
      </c>
      <c r="D16" s="17"/>
      <c r="E16" s="24">
        <f>SUM(E9:E15)</f>
        <v>81</v>
      </c>
      <c r="F16" s="15"/>
      <c r="G16" s="30">
        <f>SUM(G9:G15)</f>
        <v>591230843</v>
      </c>
      <c r="H16" s="17"/>
      <c r="I16" s="24">
        <f>SUM(I9:I15)</f>
        <v>82</v>
      </c>
      <c r="J16" s="15"/>
      <c r="K16" s="23">
        <f>SUM(K9:K15)</f>
        <v>558175793</v>
      </c>
      <c r="L16" s="17"/>
      <c r="M16" s="24">
        <f>SUM(M9:M15)</f>
        <v>75</v>
      </c>
      <c r="N16" s="16"/>
      <c r="O16" s="15"/>
      <c r="P16" s="18" t="s">
        <v>58</v>
      </c>
      <c r="R16" s="30">
        <f>-[1]!TB_LINK("-47464894.0000")</f>
        <v>47464894</v>
      </c>
      <c r="S16" s="16"/>
      <c r="T16" s="50" t="s">
        <v>1</v>
      </c>
      <c r="U16" s="15"/>
      <c r="V16" s="30">
        <v>49538862</v>
      </c>
      <c r="W16" s="16"/>
      <c r="X16" s="24" t="s">
        <v>60</v>
      </c>
      <c r="Y16" s="17"/>
      <c r="Z16" s="30" t="s">
        <v>61</v>
      </c>
      <c r="AA16" s="16"/>
      <c r="AB16" s="24" t="s">
        <v>60</v>
      </c>
      <c r="AC16" s="16"/>
    </row>
    <row r="17" spans="1:29" ht="15" customHeight="1">
      <c r="A17" s="27"/>
      <c r="B17" s="15"/>
      <c r="C17" s="19"/>
      <c r="D17" s="17"/>
      <c r="E17" s="20"/>
      <c r="F17" s="15"/>
      <c r="G17" s="19"/>
      <c r="H17" s="17"/>
      <c r="I17" s="20"/>
      <c r="J17" s="15"/>
      <c r="K17" s="31"/>
      <c r="L17" s="17"/>
      <c r="M17" s="20"/>
      <c r="N17" s="16"/>
      <c r="O17" s="15"/>
      <c r="P17" s="18"/>
      <c r="Q17" s="15"/>
      <c r="R17" s="19">
        <f>SUM(R15:R16)</f>
        <v>59537850</v>
      </c>
      <c r="S17" s="16"/>
      <c r="T17" s="51"/>
      <c r="U17" s="15"/>
      <c r="V17" s="19">
        <f>SUM(V15:V16)</f>
        <v>60283089</v>
      </c>
      <c r="W17" s="16"/>
      <c r="X17" s="20"/>
      <c r="Y17" s="17"/>
      <c r="Z17" s="19">
        <f>SUM(Z15:Z16)</f>
        <v>9324119</v>
      </c>
      <c r="AA17" s="16"/>
      <c r="AB17" s="20"/>
      <c r="AC17" s="16"/>
    </row>
    <row r="18" spans="2:29" ht="15" customHeight="1">
      <c r="B18" s="15"/>
      <c r="C18" s="26"/>
      <c r="D18" s="16"/>
      <c r="E18" s="16"/>
      <c r="F18" s="15"/>
      <c r="G18" s="26"/>
      <c r="H18" s="16"/>
      <c r="I18" s="16"/>
      <c r="J18" s="15"/>
      <c r="K18" s="16"/>
      <c r="L18" s="16"/>
      <c r="M18" s="16"/>
      <c r="O18" s="15"/>
      <c r="P18" s="14"/>
      <c r="Q18" s="15"/>
      <c r="R18" s="26"/>
      <c r="S18" s="16"/>
      <c r="T18" s="26"/>
      <c r="U18" s="15"/>
      <c r="V18" s="26"/>
      <c r="W18" s="16"/>
      <c r="X18" s="16"/>
      <c r="Y18" s="17"/>
      <c r="Z18" s="26"/>
      <c r="AA18" s="16"/>
      <c r="AB18" s="16"/>
      <c r="AC18" s="16"/>
    </row>
    <row r="19" spans="14:29" ht="15" customHeight="1">
      <c r="N19" s="16"/>
      <c r="O19" s="15"/>
      <c r="P19" s="18" t="s">
        <v>33</v>
      </c>
      <c r="Q19" s="15"/>
      <c r="R19" s="30">
        <f>SUM(R12,R17)</f>
        <v>137486169</v>
      </c>
      <c r="S19" s="16"/>
      <c r="T19" s="50">
        <f>ROUNDDOWN(R19*100/$R$32,0)</f>
        <v>19</v>
      </c>
      <c r="U19" s="15"/>
      <c r="V19" s="30">
        <f>SUM(V12,V17)</f>
        <v>138029395</v>
      </c>
      <c r="W19" s="16"/>
      <c r="X19" s="24">
        <f>ROUND(V19*100/$V$32,0)</f>
        <v>19</v>
      </c>
      <c r="Y19" s="17"/>
      <c r="Z19" s="30">
        <f>SUM(Z12,Z15)</f>
        <v>168919936</v>
      </c>
      <c r="AA19" s="16"/>
      <c r="AB19" s="24">
        <f>ROUND(Z19*100/$Z$32,0)</f>
        <v>23</v>
      </c>
      <c r="AC19" s="16"/>
    </row>
    <row r="20" spans="15:29" ht="15" customHeight="1">
      <c r="O20" s="15"/>
      <c r="P20" s="14"/>
      <c r="Q20" s="15"/>
      <c r="R20" s="26"/>
      <c r="S20" s="16"/>
      <c r="T20" s="26"/>
      <c r="U20" s="15"/>
      <c r="V20" s="26"/>
      <c r="W20" s="16"/>
      <c r="X20" s="16"/>
      <c r="Y20" s="17"/>
      <c r="Z20" s="26"/>
      <c r="AA20" s="16"/>
      <c r="AB20" s="16"/>
      <c r="AC20" s="16"/>
    </row>
    <row r="21" spans="1:29" ht="15" customHeight="1">
      <c r="A21" s="14" t="s">
        <v>34</v>
      </c>
      <c r="C21" s="3"/>
      <c r="G21" s="3"/>
      <c r="N21" s="16"/>
      <c r="O21" s="15"/>
      <c r="P21" s="14" t="s">
        <v>35</v>
      </c>
      <c r="Q21" s="15"/>
      <c r="R21" s="26"/>
      <c r="S21" s="16"/>
      <c r="T21" s="26"/>
      <c r="U21" s="15"/>
      <c r="V21" s="26"/>
      <c r="W21" s="16"/>
      <c r="X21" s="16"/>
      <c r="Y21" s="17"/>
      <c r="Z21" s="26"/>
      <c r="AA21" s="16"/>
      <c r="AB21" s="16"/>
      <c r="AC21" s="16"/>
    </row>
    <row r="22" spans="1:30" ht="15" customHeight="1">
      <c r="A22" s="49" t="s">
        <v>59</v>
      </c>
      <c r="B22" s="15"/>
      <c r="C22" s="19">
        <f>[1]!TB_LINK("7836914.0000")</f>
        <v>7836914</v>
      </c>
      <c r="D22" s="16"/>
      <c r="E22" s="20">
        <f>ROUND(C22*100/$C$32,0)</f>
        <v>1</v>
      </c>
      <c r="F22" s="37"/>
      <c r="G22" s="19">
        <v>8242772</v>
      </c>
      <c r="H22" s="17"/>
      <c r="I22" s="20">
        <f>ROUNDUP(G22*100/$G$32,0)</f>
        <v>2</v>
      </c>
      <c r="J22" s="37"/>
      <c r="K22" s="43">
        <f>[1]!TB_LINK("5345780.0000")</f>
        <v>5345780</v>
      </c>
      <c r="L22" s="17"/>
      <c r="M22" s="20">
        <f>ROUND(K22*100/$K$32,0)</f>
        <v>1</v>
      </c>
      <c r="O22" s="15"/>
      <c r="P22" s="18" t="s">
        <v>36</v>
      </c>
      <c r="Q22" s="15"/>
      <c r="R22" s="19">
        <f>-[1]!TB_LINK("-400000000.0000")</f>
        <v>400000000</v>
      </c>
      <c r="S22" s="16"/>
      <c r="T22" s="51">
        <f>ROUND(R22*100/$R$32,0)</f>
        <v>56</v>
      </c>
      <c r="U22" s="15"/>
      <c r="V22" s="19">
        <v>400000000</v>
      </c>
      <c r="W22" s="16"/>
      <c r="X22" s="20">
        <f>ROUND(V22*100/$V$32,0)</f>
        <v>55</v>
      </c>
      <c r="Y22" s="17"/>
      <c r="Z22" s="19">
        <v>400000000</v>
      </c>
      <c r="AA22" s="16"/>
      <c r="AB22" s="20">
        <f>ROUND(Z22*100/$Z$32,0)</f>
        <v>54</v>
      </c>
      <c r="AC22" s="16"/>
      <c r="AD22" s="32"/>
    </row>
    <row r="23" spans="3:29" ht="15" customHeight="1">
      <c r="C23" s="3"/>
      <c r="E23" s="6"/>
      <c r="F23" s="6"/>
      <c r="G23" s="4"/>
      <c r="H23" s="6"/>
      <c r="I23" s="6"/>
      <c r="J23" s="6"/>
      <c r="K23" s="6"/>
      <c r="L23" s="6"/>
      <c r="M23" s="6"/>
      <c r="O23" s="15"/>
      <c r="P23" s="18" t="s">
        <v>37</v>
      </c>
      <c r="Q23" s="15"/>
      <c r="R23" s="26"/>
      <c r="S23" s="16"/>
      <c r="T23" s="26"/>
      <c r="U23" s="15"/>
      <c r="V23" s="26"/>
      <c r="W23" s="16"/>
      <c r="X23" s="16"/>
      <c r="Y23" s="17"/>
      <c r="Z23" s="26"/>
      <c r="AA23" s="16"/>
      <c r="AB23" s="20"/>
      <c r="AC23" s="16"/>
    </row>
    <row r="24" spans="1:29" ht="15" customHeight="1">
      <c r="A24" s="14" t="s">
        <v>43</v>
      </c>
      <c r="B24" s="15"/>
      <c r="C24" s="1">
        <f>[1]!TB_LINK("4142378.0000")</f>
        <v>4142378</v>
      </c>
      <c r="D24" s="16"/>
      <c r="E24" s="20">
        <f>ROUND(C24*100/$C$32,0)</f>
        <v>1</v>
      </c>
      <c r="F24" s="37"/>
      <c r="G24" s="1">
        <v>4515452</v>
      </c>
      <c r="H24" s="17"/>
      <c r="I24" s="20">
        <f>ROUNDUP(G24*100/$G$32,0)</f>
        <v>1</v>
      </c>
      <c r="J24" s="37"/>
      <c r="K24" s="43">
        <f>[1]!TB_LINK("55478868.0000")</f>
        <v>55478868</v>
      </c>
      <c r="L24" s="17"/>
      <c r="M24" s="20">
        <f>ROUND(K24*100/$K$32,0)</f>
        <v>8</v>
      </c>
      <c r="N24" s="16"/>
      <c r="O24" s="15"/>
      <c r="P24" s="27" t="s">
        <v>38</v>
      </c>
      <c r="Q24" s="15"/>
      <c r="R24" s="19">
        <f>-[1]!TB_LINK("-123082504.0000")</f>
        <v>123082504</v>
      </c>
      <c r="S24" s="16"/>
      <c r="T24" s="51">
        <f>ROUND(R24*100/$R$32,0)</f>
        <v>17</v>
      </c>
      <c r="U24" s="15"/>
      <c r="V24" s="19">
        <v>123082504</v>
      </c>
      <c r="W24" s="16"/>
      <c r="X24" s="20">
        <f>ROUND(V24*100/$V$32,0)</f>
        <v>17</v>
      </c>
      <c r="Y24" s="17"/>
      <c r="Z24" s="19">
        <v>123082504</v>
      </c>
      <c r="AA24" s="16"/>
      <c r="AB24" s="20">
        <f>ROUNDUP(Z24*100/$Z$32,0)</f>
        <v>17</v>
      </c>
      <c r="AC24" s="16"/>
    </row>
    <row r="25" spans="3:29" ht="15" customHeight="1">
      <c r="C25" s="3"/>
      <c r="G25" s="3"/>
      <c r="N25" s="17"/>
      <c r="O25" s="15"/>
      <c r="P25" s="18" t="s">
        <v>39</v>
      </c>
      <c r="Q25" s="15"/>
      <c r="R25" s="26"/>
      <c r="S25" s="16"/>
      <c r="T25" s="26"/>
      <c r="U25" s="15"/>
      <c r="V25" s="26"/>
      <c r="W25" s="16"/>
      <c r="X25" s="16"/>
      <c r="Y25" s="17"/>
      <c r="Z25" s="26"/>
      <c r="AA25" s="16"/>
      <c r="AB25" s="17"/>
      <c r="AC25" s="16"/>
    </row>
    <row r="26" spans="1:30" ht="15" customHeight="1">
      <c r="A26" s="14" t="s">
        <v>46</v>
      </c>
      <c r="B26" s="15"/>
      <c r="C26" s="3"/>
      <c r="F26" s="15"/>
      <c r="G26" s="3"/>
      <c r="J26" s="15"/>
      <c r="N26" s="16"/>
      <c r="O26" s="15"/>
      <c r="P26" s="27" t="s">
        <v>40</v>
      </c>
      <c r="Q26" s="15"/>
      <c r="R26" s="19">
        <f>-[1]!TB_LINK("-27948564.0000")</f>
        <v>27948564</v>
      </c>
      <c r="S26" s="16"/>
      <c r="T26" s="51">
        <f>ROUND(R26*100/$R$32,0)</f>
        <v>4</v>
      </c>
      <c r="U26" s="15"/>
      <c r="V26" s="19">
        <v>25877587</v>
      </c>
      <c r="W26" s="16"/>
      <c r="X26" s="20">
        <f>ROUND(V26*100/$V$32,0)-1</f>
        <v>3</v>
      </c>
      <c r="Y26" s="17"/>
      <c r="Z26" s="19">
        <v>25877587</v>
      </c>
      <c r="AA26" s="16"/>
      <c r="AB26" s="20">
        <f>ROUND(Z26*100/$Z$32,0)-1</f>
        <v>2</v>
      </c>
      <c r="AC26" s="16"/>
      <c r="AD26" s="32"/>
    </row>
    <row r="27" spans="1:30" ht="15" customHeight="1">
      <c r="A27" s="18" t="s">
        <v>47</v>
      </c>
      <c r="B27" s="15"/>
      <c r="C27" s="1">
        <f>[1]!TB_LINK("110329059.0000")</f>
        <v>110329059</v>
      </c>
      <c r="D27" s="16"/>
      <c r="E27" s="20">
        <f>ROUND(C27*100/$C$32,0)</f>
        <v>15</v>
      </c>
      <c r="F27" s="15"/>
      <c r="G27" s="1">
        <v>104730831</v>
      </c>
      <c r="H27" s="16"/>
      <c r="I27" s="20">
        <f>ROUNDDOWN(G27*100/$G$32,0)</f>
        <v>14</v>
      </c>
      <c r="J27" s="15"/>
      <c r="K27" s="43">
        <f>[1]!TB_LINK("104591126.0000")</f>
        <v>104591126</v>
      </c>
      <c r="L27" s="16"/>
      <c r="M27" s="20">
        <f>ROUND(K27*100/$K$32,0)</f>
        <v>14</v>
      </c>
      <c r="N27" s="16"/>
      <c r="O27" s="15"/>
      <c r="P27" s="27" t="s">
        <v>41</v>
      </c>
      <c r="R27" s="19">
        <f>-[1]!TB_LINK("-22089321.0000")</f>
        <v>22089321</v>
      </c>
      <c r="T27" s="51">
        <f>ROUND(R27*100/$R$32,0)</f>
        <v>3</v>
      </c>
      <c r="V27" s="19">
        <v>17947367</v>
      </c>
      <c r="X27" s="20">
        <f>ROUND(V27*100/$V$32,0)</f>
        <v>2</v>
      </c>
      <c r="Y27" s="17"/>
      <c r="Z27" s="19">
        <v>17947367</v>
      </c>
      <c r="AB27" s="20">
        <f>ROUND(Z27*100/$Z$32,0)</f>
        <v>2</v>
      </c>
      <c r="AD27" s="32"/>
    </row>
    <row r="28" spans="1:30" ht="15" customHeight="1">
      <c r="A28" s="18" t="s">
        <v>48</v>
      </c>
      <c r="B28" s="15"/>
      <c r="C28" s="30">
        <f>[1]!TB_LINK("16407466.0000")</f>
        <v>16407466</v>
      </c>
      <c r="D28" s="17"/>
      <c r="E28" s="20">
        <f>ROUNDDOWN(C28*100/$C$32,0)</f>
        <v>2</v>
      </c>
      <c r="F28" s="15"/>
      <c r="G28" s="19">
        <v>16120243</v>
      </c>
      <c r="H28" s="17"/>
      <c r="I28" s="24">
        <f>ROUND(G28*100/$G$32,0)</f>
        <v>2</v>
      </c>
      <c r="J28" s="15"/>
      <c r="K28" s="43">
        <f>[1]!TB_LINK("16115232.0000")</f>
        <v>16115232</v>
      </c>
      <c r="L28" s="17"/>
      <c r="M28" s="24">
        <f>ROUNDDOWN(K28*100/$K$32,0)</f>
        <v>2</v>
      </c>
      <c r="O28" s="37"/>
      <c r="P28" s="27" t="s">
        <v>42</v>
      </c>
      <c r="Q28" s="15"/>
      <c r="R28" s="26">
        <f>R51+R52</f>
        <v>3070992</v>
      </c>
      <c r="S28" s="16"/>
      <c r="T28" s="51" t="s">
        <v>1</v>
      </c>
      <c r="U28" s="15"/>
      <c r="V28" s="26">
        <v>20915609</v>
      </c>
      <c r="W28" s="16"/>
      <c r="X28" s="20">
        <f>ROUND(V28*100/$V$32,0)</f>
        <v>3</v>
      </c>
      <c r="Y28" s="17"/>
      <c r="Z28" s="26">
        <v>9002167</v>
      </c>
      <c r="AA28" s="16"/>
      <c r="AB28" s="20">
        <f>ROUND(Z28*100/$Z$32,0)</f>
        <v>1</v>
      </c>
      <c r="AC28" s="16"/>
      <c r="AD28" s="32"/>
    </row>
    <row r="29" spans="1:31" ht="15" customHeight="1">
      <c r="A29" s="27" t="s">
        <v>49</v>
      </c>
      <c r="B29" s="15"/>
      <c r="C29" s="30">
        <f>SUM(C27:C28)</f>
        <v>126736525</v>
      </c>
      <c r="D29" s="16"/>
      <c r="E29" s="35">
        <f>ROUND(C29*100/$C$32,0)</f>
        <v>18</v>
      </c>
      <c r="F29" s="15"/>
      <c r="G29" s="30">
        <f>SUM(G27:G28)</f>
        <v>120851074</v>
      </c>
      <c r="H29" s="16"/>
      <c r="I29" s="24">
        <f>SUM(I27:I28)</f>
        <v>16</v>
      </c>
      <c r="J29" s="15"/>
      <c r="K29" s="28">
        <f>SUM(K27:K28)</f>
        <v>120706358</v>
      </c>
      <c r="L29" s="16"/>
      <c r="M29" s="24">
        <f>ROUNDDOWN(K29*100/$K$32,0)</f>
        <v>16</v>
      </c>
      <c r="N29" s="16"/>
      <c r="O29" s="15"/>
      <c r="P29" s="18" t="s">
        <v>44</v>
      </c>
      <c r="Q29" s="15"/>
      <c r="R29" s="30">
        <f>-[1]!TB_LINK("84373.0000")</f>
        <v>-84373</v>
      </c>
      <c r="S29" s="33"/>
      <c r="T29" s="51" t="s">
        <v>5</v>
      </c>
      <c r="U29" s="15"/>
      <c r="V29" s="30">
        <v>-1012321</v>
      </c>
      <c r="W29" s="33"/>
      <c r="X29" s="24">
        <f>ROUND(V29*100/$V$32,0)</f>
        <v>0</v>
      </c>
      <c r="Y29" s="34"/>
      <c r="Z29" s="30">
        <v>-5122762</v>
      </c>
      <c r="AA29" s="33"/>
      <c r="AB29" s="24">
        <f>ROUND(Z29*100/$Z$32,0)</f>
        <v>-1</v>
      </c>
      <c r="AC29" s="33"/>
      <c r="AD29" s="32"/>
      <c r="AE29" s="3"/>
    </row>
    <row r="30" spans="1:29" ht="15" customHeight="1">
      <c r="A30" s="27" t="s">
        <v>50</v>
      </c>
      <c r="B30" s="15"/>
      <c r="C30" s="44">
        <f>C29+C24+C22</f>
        <v>138715817</v>
      </c>
      <c r="D30" s="16"/>
      <c r="E30" s="35">
        <f>E29+E24+E22</f>
        <v>20</v>
      </c>
      <c r="F30" s="15"/>
      <c r="G30" s="44">
        <f>G29+G24+G22</f>
        <v>133609298</v>
      </c>
      <c r="H30" s="16"/>
      <c r="I30" s="35">
        <f>I29+I24+I22</f>
        <v>19</v>
      </c>
      <c r="J30" s="15"/>
      <c r="K30" s="28">
        <f>K29+K24+K22</f>
        <v>181531006</v>
      </c>
      <c r="L30" s="16"/>
      <c r="M30" s="35">
        <f>M29+M24+M22</f>
        <v>25</v>
      </c>
      <c r="O30" s="15"/>
      <c r="P30" s="27" t="s">
        <v>45</v>
      </c>
      <c r="Q30" s="15"/>
      <c r="R30" s="30">
        <f>SUM(R22:R29)</f>
        <v>576107008</v>
      </c>
      <c r="S30" s="16"/>
      <c r="T30" s="44">
        <f>SUM(T22:T29)</f>
        <v>80</v>
      </c>
      <c r="U30" s="15"/>
      <c r="V30" s="30">
        <f>SUM(V22:V29)</f>
        <v>586810746</v>
      </c>
      <c r="W30" s="16"/>
      <c r="X30" s="24">
        <f>ROUND(V30*100/$V$32,0)</f>
        <v>81</v>
      </c>
      <c r="Y30" s="17"/>
      <c r="Z30" s="30">
        <f>SUM(Z22:Z29)</f>
        <v>570786863</v>
      </c>
      <c r="AA30" s="16"/>
      <c r="AB30" s="24">
        <f>ROUND(Z30*100/$Z$32,0)</f>
        <v>77</v>
      </c>
      <c r="AC30" s="16"/>
    </row>
    <row r="31" spans="3:29" ht="15" customHeight="1">
      <c r="C31" s="3"/>
      <c r="G31" s="3"/>
      <c r="O31" s="15"/>
      <c r="P31" s="14"/>
      <c r="Q31" s="15"/>
      <c r="R31" s="26"/>
      <c r="S31" s="16"/>
      <c r="T31" s="26"/>
      <c r="U31" s="15"/>
      <c r="V31" s="26"/>
      <c r="W31" s="16"/>
      <c r="X31" s="16"/>
      <c r="Y31" s="17"/>
      <c r="Z31" s="26"/>
      <c r="AA31" s="16"/>
      <c r="AB31" s="16"/>
      <c r="AC31" s="16"/>
    </row>
    <row r="32" spans="1:29" ht="15" customHeight="1" thickBot="1">
      <c r="A32" s="14" t="s">
        <v>51</v>
      </c>
      <c r="B32" s="15"/>
      <c r="C32" s="45">
        <f>SUM(C16,C22,C24,C29)</f>
        <v>713593177</v>
      </c>
      <c r="D32" s="16"/>
      <c r="E32" s="39">
        <v>100</v>
      </c>
      <c r="F32" s="15"/>
      <c r="G32" s="45">
        <f>SUM(G16,G22,G24,G29)</f>
        <v>724840141</v>
      </c>
      <c r="H32" s="16"/>
      <c r="I32" s="39">
        <v>100</v>
      </c>
      <c r="J32" s="15"/>
      <c r="K32" s="38">
        <f>SUM(K16,K22,K24,K29)</f>
        <v>739706799</v>
      </c>
      <c r="L32" s="16"/>
      <c r="M32" s="39">
        <v>100</v>
      </c>
      <c r="O32" s="15"/>
      <c r="P32" s="14" t="s">
        <v>52</v>
      </c>
      <c r="Q32" s="15"/>
      <c r="R32" s="45">
        <f>SUM(R30,R19)</f>
        <v>713593177</v>
      </c>
      <c r="S32" s="16"/>
      <c r="T32" s="45">
        <v>100</v>
      </c>
      <c r="U32" s="15"/>
      <c r="V32" s="45">
        <f>SUM(V30,V19)</f>
        <v>724840141</v>
      </c>
      <c r="W32" s="16"/>
      <c r="X32" s="39">
        <v>100</v>
      </c>
      <c r="Y32" s="17"/>
      <c r="Z32" s="45">
        <f>SUM(Z30,Z19)</f>
        <v>739706799</v>
      </c>
      <c r="AA32" s="16"/>
      <c r="AB32" s="39">
        <v>100</v>
      </c>
      <c r="AC32" s="16"/>
    </row>
    <row r="33" ht="15" customHeight="1" thickTop="1">
      <c r="AC33" s="16"/>
    </row>
    <row r="34" spans="18:29" ht="15" customHeight="1">
      <c r="R34" s="5">
        <f>IF(C32=R32,"","error")</f>
      </c>
      <c r="V34" s="5">
        <f>IF(G32=V32,"","error")</f>
      </c>
      <c r="Z34" s="5">
        <f>IF(K32=Z32,"","error")</f>
      </c>
      <c r="AC34" s="16"/>
    </row>
    <row r="35" spans="3:29" ht="15" customHeight="1">
      <c r="C35" s="40"/>
      <c r="P35" s="14"/>
      <c r="Q35" s="15"/>
      <c r="R35" s="26"/>
      <c r="S35" s="16"/>
      <c r="T35" s="16"/>
      <c r="U35" s="15"/>
      <c r="V35" s="26"/>
      <c r="W35" s="16"/>
      <c r="X35" s="16"/>
      <c r="Y35" s="17"/>
      <c r="Z35" s="16"/>
      <c r="AA35" s="16"/>
      <c r="AB35" s="16"/>
      <c r="AC35" s="16"/>
    </row>
    <row r="36" spans="3:29" ht="15" customHeight="1">
      <c r="C36" s="40"/>
      <c r="R36" s="3"/>
      <c r="V36" s="3"/>
      <c r="AC36" s="16"/>
    </row>
    <row r="37" ht="15" customHeight="1">
      <c r="Y37" s="5"/>
    </row>
    <row r="38" ht="15" customHeight="1" hidden="1">
      <c r="Y38" s="5"/>
    </row>
    <row r="39" ht="15" customHeight="1" hidden="1">
      <c r="Y39" s="5"/>
    </row>
    <row r="40" spans="1:7" ht="15" customHeight="1" hidden="1">
      <c r="A40" s="5">
        <v>1107</v>
      </c>
      <c r="C40" s="41">
        <f>[1]!TB_LINK("0.0000")</f>
        <v>0</v>
      </c>
      <c r="G40" s="41">
        <f>[1]!TB_LINK("0.0000")</f>
        <v>0</v>
      </c>
    </row>
    <row r="41" spans="1:7" ht="15" customHeight="1" hidden="1">
      <c r="A41" s="5">
        <v>1108</v>
      </c>
      <c r="C41" s="41">
        <f>[1]!TB_LINK("0.0000")</f>
        <v>0</v>
      </c>
      <c r="G41" s="41">
        <f>[1]!TB_LINK("0.0000")</f>
        <v>0</v>
      </c>
    </row>
    <row r="42" ht="15" customHeight="1" hidden="1"/>
    <row r="43" spans="1:22" ht="15" customHeight="1" hidden="1">
      <c r="A43" s="5">
        <v>1160</v>
      </c>
      <c r="C43" s="41">
        <f>[1]!TB_LINK("382408.0000")</f>
        <v>382408</v>
      </c>
      <c r="G43" s="41">
        <f>[1]!TB_LINK("320913.0000")</f>
        <v>320913</v>
      </c>
      <c r="K43" s="41">
        <f>[1]!TB_LINK("322495.0000")</f>
        <v>322495</v>
      </c>
      <c r="P43" s="2" t="s">
        <v>6</v>
      </c>
      <c r="R43" s="41">
        <f>-[1]!TB_LINK("-15979225.0000")</f>
        <v>15979225</v>
      </c>
      <c r="V43" s="41">
        <f>-[1]!TB_LINK("-27105461.0000")</f>
        <v>27105461</v>
      </c>
    </row>
    <row r="44" spans="1:22" ht="15" customHeight="1" hidden="1">
      <c r="A44" s="5">
        <v>1190</v>
      </c>
      <c r="C44" s="41">
        <f>[1]!TB_LINK("605515.0000")</f>
        <v>605515</v>
      </c>
      <c r="G44" s="41">
        <f>[1]!TB_LINK("605515.0000")</f>
        <v>605515</v>
      </c>
      <c r="I44" s="5" t="s">
        <v>53</v>
      </c>
      <c r="K44" s="41">
        <f>[1]!TB_LINK("605515.0000")</f>
        <v>605515</v>
      </c>
      <c r="P44" s="2" t="s">
        <v>6</v>
      </c>
      <c r="Q44" s="3"/>
      <c r="R44" s="1">
        <f>-[1]!TB_LINK("-23921338.0000")</f>
        <v>23921338</v>
      </c>
      <c r="S44" s="3"/>
      <c r="T44" s="3"/>
      <c r="U44" s="3"/>
      <c r="V44" s="4">
        <f>-[1]!TB_LINK("-15051904.0000")</f>
        <v>15051904</v>
      </c>
    </row>
    <row r="45" spans="16:22" ht="15" customHeight="1" hidden="1">
      <c r="P45" s="2" t="s">
        <v>2</v>
      </c>
      <c r="Q45" s="3"/>
      <c r="R45" s="46">
        <f>-[1]!TB_LINK("-22952400.0000")</f>
        <v>22952400</v>
      </c>
      <c r="S45" s="3"/>
      <c r="T45" s="3"/>
      <c r="U45" s="3"/>
      <c r="V45" s="4">
        <f>-[1]!TB_LINK("-20000000.0000")</f>
        <v>20000000</v>
      </c>
    </row>
    <row r="46" spans="1:22" ht="15" customHeight="1" hidden="1">
      <c r="A46" s="5">
        <v>1250</v>
      </c>
      <c r="C46" s="41">
        <f>[1]!TB_LINK("4456994.0000")</f>
        <v>4456994</v>
      </c>
      <c r="G46" s="41">
        <f>[1]!TB_LINK("4620920.0000")</f>
        <v>4620920</v>
      </c>
      <c r="K46" s="41">
        <f>[1]!TB_LINK("9883397.0000")</f>
        <v>9883397</v>
      </c>
      <c r="P46" s="2" t="s">
        <v>7</v>
      </c>
      <c r="R46" s="41">
        <f>-[1]!TB_LINK("-26775.0000")</f>
        <v>26775</v>
      </c>
      <c r="V46" s="41">
        <f>-[1]!TB_LINK("0.0000")</f>
        <v>0</v>
      </c>
    </row>
    <row r="47" spans="1:26" ht="15" customHeight="1" hidden="1">
      <c r="A47" s="5">
        <v>1298</v>
      </c>
      <c r="C47" s="41">
        <f>[1]!TB_LINK("110101.0000")</f>
        <v>110101</v>
      </c>
      <c r="G47" s="41">
        <f>[1]!TB_LINK("174229.0000")</f>
        <v>174229</v>
      </c>
      <c r="K47" s="41">
        <f>[1]!TB_LINK("1752054.0000")</f>
        <v>1752054</v>
      </c>
      <c r="P47" s="2" t="s">
        <v>8</v>
      </c>
      <c r="Q47" s="3"/>
      <c r="R47" s="41">
        <f>-[1]!TB_LINK("-441158.0000")</f>
        <v>441158</v>
      </c>
      <c r="V47" s="41">
        <f>-[1]!TB_LINK("-407751.0000")</f>
        <v>407751</v>
      </c>
      <c r="Z47" s="41">
        <f>[1]!TB_LINK("-765441.0000")</f>
        <v>-765441</v>
      </c>
    </row>
    <row r="48" spans="16:26" ht="15" customHeight="1" hidden="1">
      <c r="P48" s="2" t="s">
        <v>9</v>
      </c>
      <c r="Q48" s="3"/>
      <c r="R48" s="41">
        <f>-[1]!TB_LINK("-8295876.0000")</f>
        <v>8295876</v>
      </c>
      <c r="V48" s="41">
        <f>[1]!TB_LINK("-59908718.0000")</f>
        <v>-59908718</v>
      </c>
      <c r="Z48" s="41">
        <f>[1]!TB_LINK("-98468461.0000")</f>
        <v>-98468461</v>
      </c>
    </row>
    <row r="49" ht="15" customHeight="1" hidden="1"/>
    <row r="50" spans="1:7" ht="15" customHeight="1" hidden="1">
      <c r="A50" s="5">
        <v>1559</v>
      </c>
      <c r="C50" s="41">
        <f>[1]!TB_LINK("-2308020.0000")</f>
        <v>-2308020</v>
      </c>
      <c r="G50" s="41">
        <f>[1]!TB_LINK("-2091300.0000")</f>
        <v>-2091300</v>
      </c>
    </row>
    <row r="51" spans="1:18" ht="15" customHeight="1" hidden="1">
      <c r="A51" s="5">
        <v>1569</v>
      </c>
      <c r="C51" s="41">
        <f>[1]!TB_LINK("-16409555.0000")</f>
        <v>-16409555</v>
      </c>
      <c r="G51" s="41">
        <f>[1]!TB_LINK("-16010029.0000")</f>
        <v>-16010029</v>
      </c>
      <c r="P51" s="2" t="s">
        <v>3</v>
      </c>
      <c r="R51" s="41">
        <f>-[1]!TB_LINK("-658087.0000")</f>
        <v>658087</v>
      </c>
    </row>
    <row r="52" spans="1:18" ht="15" customHeight="1" hidden="1">
      <c r="A52" s="5">
        <v>1639</v>
      </c>
      <c r="C52" s="41">
        <f>[1]!TB_LINK("-26936513.0000")</f>
        <v>-26936513</v>
      </c>
      <c r="G52" s="41">
        <f>[1]!TB_LINK("-26784849.0000")</f>
        <v>-26784849</v>
      </c>
      <c r="P52" s="2" t="s">
        <v>4</v>
      </c>
      <c r="R52" s="41">
        <f>-[1]!TB_LINK("-2412905.0000")</f>
        <v>2412905</v>
      </c>
    </row>
    <row r="53" ht="15" customHeight="1" hidden="1"/>
    <row r="54" spans="1:7" ht="15" customHeight="1" hidden="1">
      <c r="A54" s="5">
        <v>1561</v>
      </c>
      <c r="C54" s="42">
        <f>[1]!TB_LINK("21129102.0000")</f>
        <v>21129102</v>
      </c>
      <c r="G54" s="42">
        <f>[1]!TB_LINK("19984907.0000")</f>
        <v>19984907</v>
      </c>
    </row>
    <row r="55" spans="1:7" ht="15" customHeight="1" hidden="1">
      <c r="A55" s="5">
        <v>1672</v>
      </c>
      <c r="C55" s="41">
        <f>[1]!TB_LINK("0.0000")</f>
        <v>0</v>
      </c>
      <c r="G55" s="41">
        <f>[1]!TB_LINK("1106604.0000")</f>
        <v>1106604</v>
      </c>
    </row>
    <row r="56" ht="15" customHeight="1" hidden="1"/>
  </sheetData>
  <sheetProtection/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rintOptions/>
  <pageMargins left="0.42" right="0.32" top="1" bottom="1" header="0.5" footer="0.5"/>
  <pageSetup fitToHeight="1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">
      <pane xSplit="10" ySplit="7" topLeftCell="S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S21" sqref="S21"/>
    </sheetView>
  </sheetViews>
  <sheetFormatPr defaultColWidth="10.28125" defaultRowHeight="15" customHeight="1"/>
  <cols>
    <col min="1" max="1" width="32.57421875" style="5" customWidth="1"/>
    <col min="2" max="2" width="4.00390625" style="5" customWidth="1"/>
    <col min="3" max="3" width="14.8515625" style="5" hidden="1" customWidth="1"/>
    <col min="4" max="4" width="3.421875" style="5" hidden="1" customWidth="1"/>
    <col min="5" max="5" width="7.00390625" style="5" hidden="1" customWidth="1"/>
    <col min="6" max="6" width="3.57421875" style="5" hidden="1" customWidth="1"/>
    <col min="7" max="7" width="14.8515625" style="5" hidden="1" customWidth="1"/>
    <col min="8" max="8" width="3.140625" style="5" hidden="1" customWidth="1"/>
    <col min="9" max="9" width="7.00390625" style="5" hidden="1" customWidth="1"/>
    <col min="10" max="10" width="2.8515625" style="5" hidden="1" customWidth="1"/>
    <col min="11" max="11" width="15.140625" style="5" hidden="1" customWidth="1"/>
    <col min="12" max="12" width="2.57421875" style="5" hidden="1" customWidth="1"/>
    <col min="13" max="13" width="0" style="5" hidden="1" customWidth="1"/>
    <col min="14" max="14" width="3.28125" style="5" hidden="1" customWidth="1"/>
    <col min="15" max="15" width="13.8515625" style="5" hidden="1" customWidth="1"/>
    <col min="16" max="16" width="2.57421875" style="5" hidden="1" customWidth="1"/>
    <col min="17" max="17" width="0" style="5" hidden="1" customWidth="1"/>
    <col min="18" max="18" width="2.8515625" style="5" hidden="1" customWidth="1"/>
    <col min="19" max="19" width="15.00390625" style="5" customWidth="1"/>
    <col min="20" max="20" width="2.57421875" style="5" customWidth="1"/>
    <col min="21" max="21" width="10.28125" style="5" customWidth="1"/>
    <col min="22" max="22" width="3.28125" style="5" customWidth="1"/>
    <col min="23" max="23" width="13.8515625" style="5" customWidth="1"/>
    <col min="24" max="24" width="2.57421875" style="5" customWidth="1"/>
    <col min="25" max="16384" width="10.28125" style="5" customWidth="1"/>
  </cols>
  <sheetData>
    <row r="1" spans="1:25" ht="15" customHeight="1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5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" customHeight="1">
      <c r="A3" s="79" t="s">
        <v>86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5" customHeight="1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ht="15" customHeight="1">
      <c r="A5" s="52"/>
    </row>
    <row r="6" spans="1:25" ht="15" customHeight="1" thickBot="1">
      <c r="A6" s="7"/>
      <c r="B6" s="7"/>
      <c r="C6" s="81" t="s">
        <v>63</v>
      </c>
      <c r="D6" s="81"/>
      <c r="E6" s="81"/>
      <c r="F6" s="7"/>
      <c r="G6" s="81" t="s">
        <v>64</v>
      </c>
      <c r="H6" s="81"/>
      <c r="I6" s="81"/>
      <c r="K6" s="81" t="s">
        <v>65</v>
      </c>
      <c r="L6" s="81"/>
      <c r="M6" s="81"/>
      <c r="N6" s="7"/>
      <c r="O6" s="81" t="s">
        <v>66</v>
      </c>
      <c r="P6" s="81"/>
      <c r="Q6" s="81"/>
      <c r="S6" s="81" t="s">
        <v>67</v>
      </c>
      <c r="T6" s="81"/>
      <c r="U6" s="81"/>
      <c r="V6" s="7"/>
      <c r="W6" s="81" t="s">
        <v>65</v>
      </c>
      <c r="X6" s="81"/>
      <c r="Y6" s="81"/>
    </row>
    <row r="7" spans="1:25" ht="15" customHeight="1" thickBot="1">
      <c r="A7" s="7"/>
      <c r="B7" s="7"/>
      <c r="C7" s="47" t="s">
        <v>14</v>
      </c>
      <c r="D7" s="53"/>
      <c r="E7" s="13" t="s">
        <v>15</v>
      </c>
      <c r="F7" s="9"/>
      <c r="G7" s="47" t="s">
        <v>14</v>
      </c>
      <c r="H7" s="53"/>
      <c r="I7" s="13" t="s">
        <v>15</v>
      </c>
      <c r="K7" s="47" t="s">
        <v>14</v>
      </c>
      <c r="L7" s="53"/>
      <c r="M7" s="13" t="s">
        <v>15</v>
      </c>
      <c r="N7" s="9"/>
      <c r="O7" s="47" t="s">
        <v>14</v>
      </c>
      <c r="P7" s="53"/>
      <c r="Q7" s="13" t="s">
        <v>15</v>
      </c>
      <c r="S7" s="8" t="s">
        <v>14</v>
      </c>
      <c r="T7" s="53"/>
      <c r="U7" s="53" t="s">
        <v>15</v>
      </c>
      <c r="V7" s="9"/>
      <c r="W7" s="70" t="s">
        <v>14</v>
      </c>
      <c r="X7" s="53"/>
      <c r="Y7" s="13" t="s">
        <v>15</v>
      </c>
    </row>
    <row r="8" spans="1:25" ht="15" customHeight="1">
      <c r="A8" s="7" t="s">
        <v>68</v>
      </c>
      <c r="B8" s="7"/>
      <c r="C8" s="16"/>
      <c r="D8" s="54"/>
      <c r="E8" s="16"/>
      <c r="F8" s="54"/>
      <c r="G8" s="16"/>
      <c r="H8" s="54"/>
      <c r="I8" s="16"/>
      <c r="K8" s="16"/>
      <c r="L8" s="54"/>
      <c r="M8" s="16"/>
      <c r="N8" s="54"/>
      <c r="O8" s="16"/>
      <c r="P8" s="54"/>
      <c r="Q8" s="16"/>
      <c r="S8" s="75">
        <f>-[1]!TB_LINK("-49933241.0000")</f>
        <v>49933241</v>
      </c>
      <c r="T8" s="54"/>
      <c r="U8" s="75">
        <f>ROUNDUP(S8*100/$S$8,0)</f>
        <v>100</v>
      </c>
      <c r="V8" s="54"/>
      <c r="W8" s="71">
        <v>49554206</v>
      </c>
      <c r="X8" s="54"/>
      <c r="Y8" s="75">
        <f>ROUNDUP(W8*100/$S$8,0)</f>
        <v>100</v>
      </c>
    </row>
    <row r="9" spans="1:25" ht="15" customHeight="1">
      <c r="A9" s="7" t="s">
        <v>69</v>
      </c>
      <c r="B9" s="7"/>
      <c r="C9" s="55">
        <v>-93776192</v>
      </c>
      <c r="D9" s="56"/>
      <c r="E9" s="55" t="e">
        <f>ROUNDUP(C9*100/#REF!,0)</f>
        <v>#REF!</v>
      </c>
      <c r="F9" s="56"/>
      <c r="G9" s="55">
        <f>-49036173+56750+329455</f>
        <v>-48649968</v>
      </c>
      <c r="H9" s="56"/>
      <c r="I9" s="55" t="e">
        <f>ROUNDDOWN(G9*100/#REF!,0)</f>
        <v>#REF!</v>
      </c>
      <c r="J9" s="57"/>
      <c r="K9" s="55">
        <f>S9-C9</f>
        <v>47113840</v>
      </c>
      <c r="L9" s="56"/>
      <c r="M9" s="55" t="e">
        <f>ROUNDUP(K9*100/#REF!,0)</f>
        <v>#REF!</v>
      </c>
      <c r="N9" s="56"/>
      <c r="O9" s="55">
        <v>-43309795</v>
      </c>
      <c r="P9" s="56"/>
      <c r="Q9" s="55" t="e">
        <f>ROUNDDOWN(O9*100/#REF!,0)</f>
        <v>#REF!</v>
      </c>
      <c r="R9" s="57"/>
      <c r="S9" s="72">
        <f>-[1]!TB_LINK("46662352.0000")</f>
        <v>-46662352</v>
      </c>
      <c r="T9" s="56"/>
      <c r="U9" s="72">
        <f>ROUNDUP(S9*100/$S$8,0)</f>
        <v>-94</v>
      </c>
      <c r="V9" s="56"/>
      <c r="W9" s="72">
        <v>-45479621</v>
      </c>
      <c r="X9" s="56"/>
      <c r="Y9" s="72">
        <f>ROUNDUP(W9*100/$S$8,0)</f>
        <v>-92</v>
      </c>
    </row>
    <row r="10" spans="1:25" ht="15" customHeight="1">
      <c r="A10" s="7" t="s">
        <v>70</v>
      </c>
      <c r="B10" s="7"/>
      <c r="C10" s="23">
        <f>SUM(C9:C9)</f>
        <v>-93776192</v>
      </c>
      <c r="D10" s="54"/>
      <c r="E10" s="55" t="e">
        <f>#REF!+E9</f>
        <v>#REF!</v>
      </c>
      <c r="F10" s="54"/>
      <c r="G10" s="23">
        <f>SUM(G9:G9)</f>
        <v>-48649968</v>
      </c>
      <c r="H10" s="54"/>
      <c r="I10" s="55" t="e">
        <f>#REF!+I9</f>
        <v>#REF!</v>
      </c>
      <c r="K10" s="23">
        <f>SUM(K9:K9)</f>
        <v>47113840</v>
      </c>
      <c r="L10" s="54"/>
      <c r="M10" s="55" t="e">
        <f>#REF!+M9</f>
        <v>#REF!</v>
      </c>
      <c r="N10" s="54"/>
      <c r="O10" s="23">
        <f>SUM(O9:O9)</f>
        <v>-43309795</v>
      </c>
      <c r="P10" s="54"/>
      <c r="Q10" s="55" t="e">
        <f>#REF!+Q9</f>
        <v>#REF!</v>
      </c>
      <c r="S10" s="72">
        <f>SUM(S8:S9)</f>
        <v>3270889</v>
      </c>
      <c r="T10" s="54"/>
      <c r="U10" s="72">
        <f>SUM(U8:U9)</f>
        <v>6</v>
      </c>
      <c r="V10" s="54"/>
      <c r="W10" s="72">
        <f>SUM(W8:W9)</f>
        <v>4074585</v>
      </c>
      <c r="X10" s="54"/>
      <c r="Y10" s="72">
        <f>SUM(Y8:Y9)</f>
        <v>8</v>
      </c>
    </row>
    <row r="11" spans="1:25" ht="15" customHeight="1">
      <c r="A11" s="7"/>
      <c r="B11" s="7"/>
      <c r="C11" s="16"/>
      <c r="D11" s="54"/>
      <c r="E11" s="16"/>
      <c r="F11" s="54"/>
      <c r="G11" s="16"/>
      <c r="H11" s="54"/>
      <c r="I11" s="16"/>
      <c r="K11" s="16"/>
      <c r="L11" s="54"/>
      <c r="M11" s="16"/>
      <c r="N11" s="54"/>
      <c r="O11" s="16"/>
      <c r="P11" s="54"/>
      <c r="Q11" s="16"/>
      <c r="S11" s="71"/>
      <c r="T11" s="54"/>
      <c r="U11" s="71"/>
      <c r="V11" s="54"/>
      <c r="W11" s="71"/>
      <c r="X11" s="54"/>
      <c r="Y11" s="71"/>
    </row>
    <row r="12" spans="1:25" ht="15" customHeight="1">
      <c r="A12" s="7" t="s">
        <v>71</v>
      </c>
      <c r="B12" s="7"/>
      <c r="C12" s="16"/>
      <c r="D12" s="54"/>
      <c r="E12" s="16"/>
      <c r="F12" s="54"/>
      <c r="G12" s="16"/>
      <c r="H12" s="54"/>
      <c r="I12" s="16"/>
      <c r="K12" s="16"/>
      <c r="L12" s="54"/>
      <c r="M12" s="16"/>
      <c r="N12" s="54"/>
      <c r="O12" s="16"/>
      <c r="P12" s="54"/>
      <c r="Q12" s="16"/>
      <c r="S12" s="71"/>
      <c r="T12" s="54"/>
      <c r="U12" s="71"/>
      <c r="V12" s="54"/>
      <c r="W12" s="71"/>
      <c r="X12" s="54"/>
      <c r="Y12" s="71"/>
    </row>
    <row r="13" spans="1:27" ht="15" customHeight="1">
      <c r="A13" s="7" t="s">
        <v>72</v>
      </c>
      <c r="B13" s="7"/>
      <c r="C13" s="22">
        <v>3990551</v>
      </c>
      <c r="D13" s="54"/>
      <c r="E13" s="16" t="e">
        <f>ROUND(C13*100/#REF!,0)</f>
        <v>#REF!</v>
      </c>
      <c r="F13" s="54"/>
      <c r="G13" s="22">
        <f>1368813+87207</f>
        <v>1456020</v>
      </c>
      <c r="H13" s="54"/>
      <c r="I13" s="16" t="e">
        <f>ROUNDDOWN(G13*100/#REF!,0)</f>
        <v>#REF!</v>
      </c>
      <c r="K13" s="22">
        <f>S13-C13</f>
        <v>-1333111</v>
      </c>
      <c r="L13" s="54"/>
      <c r="M13" s="16" t="e">
        <f>ROUND(K13*100/#REF!,0)</f>
        <v>#REF!</v>
      </c>
      <c r="N13" s="54"/>
      <c r="O13" s="31">
        <v>1597412</v>
      </c>
      <c r="P13" s="54"/>
      <c r="Q13" s="17" t="e">
        <f>ROUNDDOWN(O13*100/#REF!,0)</f>
        <v>#REF!</v>
      </c>
      <c r="S13" s="77">
        <f>-[1]!TB_LINK("-2657440.0000")</f>
        <v>2657440</v>
      </c>
      <c r="T13" s="54"/>
      <c r="U13" s="75">
        <f>ROUNDUP(S13*100/$S$8,0)</f>
        <v>6</v>
      </c>
      <c r="V13" s="54"/>
      <c r="W13" s="73">
        <v>2000161</v>
      </c>
      <c r="X13" s="54"/>
      <c r="Y13" s="75">
        <f>ROUNDUP(W13*100/$S$8,0)</f>
        <v>5</v>
      </c>
      <c r="AA13" s="58"/>
    </row>
    <row r="14" spans="1:25" ht="15" customHeight="1">
      <c r="A14" s="7" t="s">
        <v>73</v>
      </c>
      <c r="B14" s="7"/>
      <c r="C14" s="22">
        <v>2478238</v>
      </c>
      <c r="D14" s="54"/>
      <c r="E14" s="59" t="s">
        <v>1</v>
      </c>
      <c r="F14" s="54"/>
      <c r="G14" s="33">
        <v>-78816</v>
      </c>
      <c r="H14" s="54"/>
      <c r="I14" s="60" t="s">
        <v>1</v>
      </c>
      <c r="K14" s="55">
        <f>S14-C14</f>
        <v>-5155356</v>
      </c>
      <c r="L14" s="54"/>
      <c r="M14" s="55" t="e">
        <f>ROUND(K14*100/#REF!,0)</f>
        <v>#REF!</v>
      </c>
      <c r="N14" s="54"/>
      <c r="O14" s="33">
        <v>-700836</v>
      </c>
      <c r="P14" s="54"/>
      <c r="Q14" s="55" t="e">
        <f>ROUNDUP(O14*100/#REF!,0)</f>
        <v>#REF!</v>
      </c>
      <c r="S14" s="72">
        <f>-[1]!TB_LINK("2677118.0000")</f>
        <v>-2677118</v>
      </c>
      <c r="T14" s="54"/>
      <c r="U14" s="72">
        <f>ROUNDUP(S14*100/$S$8,0)</f>
        <v>-6</v>
      </c>
      <c r="V14" s="54"/>
      <c r="W14" s="71">
        <v>3308437</v>
      </c>
      <c r="X14" s="54"/>
      <c r="Y14" s="72">
        <f>ROUNDUP(W14*100/$S$8,0)</f>
        <v>7</v>
      </c>
    </row>
    <row r="15" spans="1:25" ht="15" customHeight="1">
      <c r="A15" s="7" t="s">
        <v>74</v>
      </c>
      <c r="B15" s="7"/>
      <c r="C15" s="28">
        <f>SUM(C13:C14)</f>
        <v>6468789</v>
      </c>
      <c r="D15" s="54"/>
      <c r="E15" s="36" t="e">
        <f>ROUND(C15*100/#REF!,0)</f>
        <v>#REF!</v>
      </c>
      <c r="F15" s="54"/>
      <c r="G15" s="28">
        <f>SUM(G13:G14)</f>
        <v>1377204</v>
      </c>
      <c r="H15" s="54"/>
      <c r="I15" s="61" t="e">
        <f>ROUNDDOWN(G15*100/#REF!,0)</f>
        <v>#REF!</v>
      </c>
      <c r="K15" s="28">
        <f>SUM(K13:K14)</f>
        <v>-6488467</v>
      </c>
      <c r="L15" s="54"/>
      <c r="M15" s="36" t="e">
        <f>ROUND(K15*100/#REF!,0)</f>
        <v>#REF!</v>
      </c>
      <c r="N15" s="54"/>
      <c r="O15" s="28">
        <f>SUM(O13:O14)</f>
        <v>896576</v>
      </c>
      <c r="P15" s="54"/>
      <c r="Q15" s="61" t="e">
        <f>ROUNDDOWN(O15*100/#REF!,0)</f>
        <v>#REF!</v>
      </c>
      <c r="S15" s="72">
        <f>SUM(S13:S14)</f>
        <v>-19678</v>
      </c>
      <c r="T15" s="54"/>
      <c r="U15" s="74">
        <f>SUM(U13:U14)</f>
        <v>0</v>
      </c>
      <c r="V15" s="54"/>
      <c r="W15" s="74">
        <f>SUM(W13:W14)</f>
        <v>5308598</v>
      </c>
      <c r="X15" s="54"/>
      <c r="Y15" s="74">
        <f>SUM(Y13:Y14)</f>
        <v>12</v>
      </c>
    </row>
    <row r="16" spans="1:25" ht="15" customHeight="1">
      <c r="A16" s="7"/>
      <c r="B16" s="7"/>
      <c r="C16" s="16"/>
      <c r="D16" s="54"/>
      <c r="E16" s="16"/>
      <c r="F16" s="54"/>
      <c r="G16" s="16"/>
      <c r="H16" s="54"/>
      <c r="I16" s="16"/>
      <c r="K16" s="16"/>
      <c r="L16" s="54"/>
      <c r="M16" s="16"/>
      <c r="N16" s="54"/>
      <c r="O16" s="16"/>
      <c r="P16" s="54"/>
      <c r="Q16" s="16"/>
      <c r="S16" s="71"/>
      <c r="T16" s="54"/>
      <c r="U16" s="71"/>
      <c r="V16" s="54"/>
      <c r="W16" s="71"/>
      <c r="X16" s="54"/>
      <c r="Y16" s="71"/>
    </row>
    <row r="17" spans="1:25" ht="15" customHeight="1">
      <c r="A17" s="7" t="s">
        <v>75</v>
      </c>
      <c r="B17" s="7"/>
      <c r="C17" s="22">
        <f>SUM(C10,C15)</f>
        <v>-87307403</v>
      </c>
      <c r="D17" s="54"/>
      <c r="E17" s="16" t="e">
        <f>ROUND(C17*100/#REF!,0)</f>
        <v>#REF!</v>
      </c>
      <c r="F17" s="54"/>
      <c r="G17" s="22">
        <f>SUM(G10,G15)</f>
        <v>-47272764</v>
      </c>
      <c r="H17" s="54"/>
      <c r="I17" s="16" t="e">
        <f>ROUND(G17*100/#REF!,0)</f>
        <v>#REF!</v>
      </c>
      <c r="K17" s="22">
        <f>SUM(K10,K15)</f>
        <v>40625373</v>
      </c>
      <c r="L17" s="54"/>
      <c r="M17" s="33" t="e">
        <f>M10+M15</f>
        <v>#REF!</v>
      </c>
      <c r="N17" s="54"/>
      <c r="O17" s="22">
        <f>SUM(O10,O15)</f>
        <v>-42413219</v>
      </c>
      <c r="P17" s="54"/>
      <c r="Q17" s="16" t="e">
        <f>ROUND(O17*100/#REF!,0)</f>
        <v>#REF!</v>
      </c>
      <c r="S17" s="71">
        <f>SUM(S10,S15)</f>
        <v>3251211</v>
      </c>
      <c r="T17" s="54"/>
      <c r="U17" s="71">
        <f>U10+U15</f>
        <v>6</v>
      </c>
      <c r="V17" s="54"/>
      <c r="W17" s="71">
        <f>SUM(W10,W15)</f>
        <v>9383183</v>
      </c>
      <c r="X17" s="54"/>
      <c r="Y17" s="71">
        <f>Y10+Y15</f>
        <v>20</v>
      </c>
    </row>
    <row r="18" spans="1:27" ht="15" customHeight="1">
      <c r="A18" s="7"/>
      <c r="B18" s="7"/>
      <c r="C18" s="16"/>
      <c r="D18" s="54"/>
      <c r="E18" s="16"/>
      <c r="F18" s="54"/>
      <c r="G18" s="16"/>
      <c r="H18" s="54"/>
      <c r="I18" s="16"/>
      <c r="K18" s="16"/>
      <c r="L18" s="54"/>
      <c r="M18" s="16"/>
      <c r="N18" s="54"/>
      <c r="O18" s="16"/>
      <c r="P18" s="54"/>
      <c r="Q18" s="16"/>
      <c r="S18" s="71"/>
      <c r="T18" s="54"/>
      <c r="U18" s="71"/>
      <c r="V18" s="54"/>
      <c r="W18" s="71"/>
      <c r="X18" s="54"/>
      <c r="Y18" s="71"/>
      <c r="AA18" s="58"/>
    </row>
    <row r="19" spans="1:25" ht="15" customHeight="1">
      <c r="A19" s="7" t="s">
        <v>76</v>
      </c>
      <c r="B19" s="7"/>
      <c r="C19" s="55">
        <v>-2749319</v>
      </c>
      <c r="D19" s="54"/>
      <c r="E19" s="55" t="e">
        <f>ROUND(C19*100/#REF!,0)</f>
        <v>#REF!</v>
      </c>
      <c r="F19" s="54"/>
      <c r="G19" s="55">
        <f>-1319336-72267</f>
        <v>-1391603</v>
      </c>
      <c r="H19" s="54"/>
      <c r="I19" s="55" t="e">
        <f>ROUND(G19*100/#REF!,0)</f>
        <v>#REF!</v>
      </c>
      <c r="K19" s="55">
        <f>S19-C19</f>
        <v>1911013</v>
      </c>
      <c r="L19" s="54"/>
      <c r="M19" s="55" t="e">
        <f>ROUNDDOWN(K19*100/#REF!,0)</f>
        <v>#REF!</v>
      </c>
      <c r="N19" s="54"/>
      <c r="O19" s="55">
        <v>-1075219</v>
      </c>
      <c r="P19" s="54"/>
      <c r="Q19" s="55" t="e">
        <f>ROUND(O19*100/#REF!,0)</f>
        <v>#REF!</v>
      </c>
      <c r="S19" s="72">
        <f>-[1]!TB_LINK("838306.0000")</f>
        <v>-838306</v>
      </c>
      <c r="T19" s="54"/>
      <c r="U19" s="72">
        <f>ROUNDUP(S19*100/$S$8,0)</f>
        <v>-2</v>
      </c>
      <c r="V19" s="54"/>
      <c r="W19" s="72">
        <v>-1595142</v>
      </c>
      <c r="X19" s="54"/>
      <c r="Y19" s="72">
        <f>ROUNDUP(W19*100/$S$8,0)</f>
        <v>-4</v>
      </c>
    </row>
    <row r="20" spans="1:25" ht="15" customHeight="1">
      <c r="A20" s="7"/>
      <c r="B20" s="7"/>
      <c r="C20" s="16"/>
      <c r="D20" s="54"/>
      <c r="E20" s="16"/>
      <c r="F20" s="54"/>
      <c r="G20" s="16"/>
      <c r="H20" s="54"/>
      <c r="I20" s="16"/>
      <c r="K20" s="16"/>
      <c r="L20" s="54"/>
      <c r="M20" s="16"/>
      <c r="N20" s="54"/>
      <c r="O20" s="16"/>
      <c r="P20" s="54"/>
      <c r="Q20" s="16"/>
      <c r="S20" s="71"/>
      <c r="T20" s="54"/>
      <c r="U20" s="71"/>
      <c r="V20" s="54"/>
      <c r="W20" s="71"/>
      <c r="X20" s="54"/>
      <c r="Y20" s="71"/>
    </row>
    <row r="21" spans="1:25" ht="15" customHeight="1">
      <c r="A21" s="7" t="s">
        <v>77</v>
      </c>
      <c r="B21" s="7"/>
      <c r="C21" s="62">
        <f>SUM(C17:C20)</f>
        <v>-90056722</v>
      </c>
      <c r="D21" s="54"/>
      <c r="E21" s="61" t="e">
        <f>ROUND(C21*100/#REF!,0)</f>
        <v>#REF!</v>
      </c>
      <c r="F21" s="54"/>
      <c r="G21" s="62">
        <f>SUM(G17:G20)</f>
        <v>-48664367</v>
      </c>
      <c r="H21" s="54"/>
      <c r="I21" s="61" t="e">
        <f>ROUND(G21*100/#REF!,0)</f>
        <v>#REF!</v>
      </c>
      <c r="K21" s="62">
        <f>SUM(K17:K20)</f>
        <v>42536386</v>
      </c>
      <c r="L21" s="54"/>
      <c r="M21" s="61" t="e">
        <f>ROUND(K21*100/#REF!,0)</f>
        <v>#REF!</v>
      </c>
      <c r="N21" s="54"/>
      <c r="O21" s="62">
        <f>SUM(O17:O20)</f>
        <v>-43488438</v>
      </c>
      <c r="P21" s="54"/>
      <c r="Q21" s="63" t="e">
        <f>ROUND(O21*100/#REF!,0)</f>
        <v>#REF!</v>
      </c>
      <c r="S21" s="72">
        <f>SUM(S17:S20)</f>
        <v>2412905</v>
      </c>
      <c r="T21" s="54"/>
      <c r="U21" s="72">
        <f>ROUNDUP(S21*100/$S$8,0)</f>
        <v>5</v>
      </c>
      <c r="V21" s="54"/>
      <c r="W21" s="72">
        <f>SUM(W17:W20)</f>
        <v>7788041</v>
      </c>
      <c r="X21" s="54"/>
      <c r="Y21" s="72">
        <f>ROUNDUP(W21*100/$S$8,0)</f>
        <v>16</v>
      </c>
    </row>
    <row r="22" spans="1:25" ht="15" customHeight="1">
      <c r="A22" s="7"/>
      <c r="B22" s="7"/>
      <c r="C22" s="64"/>
      <c r="D22" s="54"/>
      <c r="E22" s="17"/>
      <c r="F22" s="54"/>
      <c r="G22" s="64"/>
      <c r="H22" s="54"/>
      <c r="I22" s="17"/>
      <c r="K22" s="64"/>
      <c r="L22" s="54"/>
      <c r="M22" s="17"/>
      <c r="N22" s="54"/>
      <c r="O22" s="64"/>
      <c r="P22" s="54"/>
      <c r="Q22" s="65"/>
      <c r="S22" s="75"/>
      <c r="T22" s="54"/>
      <c r="U22" s="75"/>
      <c r="V22" s="54"/>
      <c r="W22" s="75"/>
      <c r="X22" s="54"/>
      <c r="Y22" s="75"/>
    </row>
    <row r="23" spans="1:25" ht="15" customHeight="1">
      <c r="A23" s="7" t="s">
        <v>78</v>
      </c>
      <c r="B23" s="7"/>
      <c r="C23" s="64"/>
      <c r="D23" s="54"/>
      <c r="E23" s="17"/>
      <c r="F23" s="54"/>
      <c r="G23" s="64"/>
      <c r="H23" s="54"/>
      <c r="I23" s="17"/>
      <c r="K23" s="64"/>
      <c r="L23" s="54"/>
      <c r="M23" s="17"/>
      <c r="N23" s="54"/>
      <c r="O23" s="64"/>
      <c r="P23" s="54"/>
      <c r="Q23" s="65"/>
      <c r="S23" s="75"/>
      <c r="T23" s="54"/>
      <c r="U23" s="75"/>
      <c r="V23" s="54"/>
      <c r="W23" s="75"/>
      <c r="X23" s="54"/>
      <c r="Y23" s="75"/>
    </row>
    <row r="24" spans="1:25" ht="15" customHeight="1">
      <c r="A24" s="7" t="s">
        <v>79</v>
      </c>
      <c r="B24" s="7"/>
      <c r="C24" s="62">
        <v>1352349</v>
      </c>
      <c r="D24" s="54"/>
      <c r="E24" s="60" t="s">
        <v>1</v>
      </c>
      <c r="F24" s="54"/>
      <c r="G24" s="55">
        <v>1063003</v>
      </c>
      <c r="H24" s="54"/>
      <c r="I24" s="55" t="e">
        <f>ROUND(G24*100/#REF!,0)</f>
        <v>#REF!</v>
      </c>
      <c r="K24" s="55">
        <f>S24-C24</f>
        <v>-1267976</v>
      </c>
      <c r="L24" s="54"/>
      <c r="M24" s="55" t="e">
        <f>ROUND(K24*100/#REF!,0)</f>
        <v>#REF!</v>
      </c>
      <c r="N24" s="54"/>
      <c r="O24" s="55">
        <v>1483259</v>
      </c>
      <c r="P24" s="54"/>
      <c r="Q24" s="55" t="e">
        <f>ROUND(O24*100/#REF!,0)</f>
        <v>#REF!</v>
      </c>
      <c r="S24" s="72">
        <v>84373</v>
      </c>
      <c r="T24" s="54"/>
      <c r="U24" s="72">
        <f>ROUNDUP(S24*100/$S$8,0)</f>
        <v>1</v>
      </c>
      <c r="V24" s="54"/>
      <c r="W24" s="72">
        <v>0</v>
      </c>
      <c r="X24" s="54"/>
      <c r="Y24" s="72">
        <f>ROUNDUP(W24*100/$S$8,0)</f>
        <v>0</v>
      </c>
    </row>
    <row r="25" spans="1:25" ht="15" customHeight="1">
      <c r="A25" s="7"/>
      <c r="B25" s="7"/>
      <c r="C25" s="64"/>
      <c r="D25" s="54"/>
      <c r="E25" s="17"/>
      <c r="F25" s="54"/>
      <c r="G25" s="64"/>
      <c r="H25" s="54"/>
      <c r="I25" s="17"/>
      <c r="K25" s="64"/>
      <c r="L25" s="54"/>
      <c r="M25" s="17"/>
      <c r="N25" s="54"/>
      <c r="O25" s="64"/>
      <c r="P25" s="54"/>
      <c r="Q25" s="65"/>
      <c r="S25" s="75"/>
      <c r="T25" s="54"/>
      <c r="U25" s="75"/>
      <c r="V25" s="54"/>
      <c r="W25" s="75"/>
      <c r="X25" s="54"/>
      <c r="Y25" s="75"/>
    </row>
    <row r="26" spans="1:25" ht="15" customHeight="1" thickBot="1">
      <c r="A26" s="7" t="s">
        <v>80</v>
      </c>
      <c r="B26" s="7"/>
      <c r="C26" s="38">
        <f>C21+C24</f>
        <v>-88704373</v>
      </c>
      <c r="D26" s="54"/>
      <c r="E26" s="39" t="e">
        <f>ROUND(C26*100/#REF!,0)</f>
        <v>#REF!</v>
      </c>
      <c r="F26" s="54"/>
      <c r="G26" s="38">
        <f>G21+G24</f>
        <v>-47601364</v>
      </c>
      <c r="H26" s="54"/>
      <c r="I26" s="55" t="e">
        <f>ROUND(G26*100/#REF!,0)</f>
        <v>#REF!</v>
      </c>
      <c r="K26" s="38">
        <f>K21+K24</f>
        <v>41268410</v>
      </c>
      <c r="L26" s="54"/>
      <c r="M26" s="39" t="e">
        <f>ROUND(K26*100/#REF!,0)</f>
        <v>#REF!</v>
      </c>
      <c r="N26" s="54"/>
      <c r="O26" s="38">
        <f>O21+O24</f>
        <v>-42005179</v>
      </c>
      <c r="P26" s="54"/>
      <c r="Q26" s="66" t="e">
        <f>ROUND(O26*100/#REF!,0)</f>
        <v>#REF!</v>
      </c>
      <c r="S26" s="76">
        <f>S21+S24</f>
        <v>2497278</v>
      </c>
      <c r="T26" s="54"/>
      <c r="U26" s="76">
        <f>ROUNDUP(S26*100/$S$8,0)</f>
        <v>6</v>
      </c>
      <c r="V26" s="54"/>
      <c r="W26" s="76">
        <f>W21+W24</f>
        <v>7788041</v>
      </c>
      <c r="X26" s="54"/>
      <c r="Y26" s="76">
        <f>ROUNDUP(W26*100/$S$8,0)</f>
        <v>16</v>
      </c>
    </row>
    <row r="27" ht="15" customHeight="1" thickTop="1">
      <c r="A27" s="52"/>
    </row>
    <row r="28" spans="1:25" ht="15" customHeight="1" thickBot="1">
      <c r="A28" s="7"/>
      <c r="B28" s="7"/>
      <c r="C28" s="78" t="s">
        <v>81</v>
      </c>
      <c r="D28" s="78"/>
      <c r="E28" s="78"/>
      <c r="F28" s="7"/>
      <c r="G28" s="78" t="s">
        <v>82</v>
      </c>
      <c r="H28" s="78"/>
      <c r="I28" s="78"/>
      <c r="K28" s="78" t="str">
        <f>K6</f>
        <v>103年1月1日至3月31日</v>
      </c>
      <c r="L28" s="78"/>
      <c r="M28" s="78"/>
      <c r="N28" s="7"/>
      <c r="O28" s="78" t="str">
        <f>O6</f>
        <v>102年7月1日至9月30日</v>
      </c>
      <c r="P28" s="78"/>
      <c r="Q28" s="78"/>
      <c r="S28" s="78" t="str">
        <f>S6</f>
        <v>104年1月1日至3月31日</v>
      </c>
      <c r="T28" s="78"/>
      <c r="U28" s="78"/>
      <c r="V28" s="7"/>
      <c r="W28" s="78" t="str">
        <f>W6</f>
        <v>103年1月1日至3月31日</v>
      </c>
      <c r="X28" s="78"/>
      <c r="Y28" s="78"/>
    </row>
    <row r="29" spans="1:25" ht="15" customHeight="1" thickBot="1">
      <c r="A29" s="7"/>
      <c r="B29" s="7"/>
      <c r="C29" s="67" t="s">
        <v>83</v>
      </c>
      <c r="D29" s="54"/>
      <c r="E29" s="67" t="s">
        <v>84</v>
      </c>
      <c r="F29" s="54"/>
      <c r="G29" s="67" t="s">
        <v>83</v>
      </c>
      <c r="H29" s="54"/>
      <c r="I29" s="67" t="s">
        <v>84</v>
      </c>
      <c r="K29" s="67" t="s">
        <v>83</v>
      </c>
      <c r="L29" s="54"/>
      <c r="M29" s="67" t="s">
        <v>84</v>
      </c>
      <c r="N29" s="54"/>
      <c r="O29" s="67" t="s">
        <v>83</v>
      </c>
      <c r="P29" s="54"/>
      <c r="Q29" s="67" t="s">
        <v>84</v>
      </c>
      <c r="S29" s="67" t="s">
        <v>83</v>
      </c>
      <c r="T29" s="54"/>
      <c r="U29" s="67" t="s">
        <v>84</v>
      </c>
      <c r="V29" s="54"/>
      <c r="W29" s="67" t="s">
        <v>83</v>
      </c>
      <c r="X29" s="54"/>
      <c r="Y29" s="67" t="s">
        <v>84</v>
      </c>
    </row>
    <row r="30" spans="1:25" ht="15" customHeight="1" thickBot="1">
      <c r="A30" s="7" t="s">
        <v>85</v>
      </c>
      <c r="B30" s="7"/>
      <c r="C30" s="68">
        <v>0.234579575</v>
      </c>
      <c r="D30" s="54"/>
      <c r="E30" s="68">
        <v>0.194701025</v>
      </c>
      <c r="F30" s="54"/>
      <c r="G30" s="68">
        <v>0.19</v>
      </c>
      <c r="H30" s="54"/>
      <c r="I30" s="68">
        <v>0.16</v>
      </c>
      <c r="K30" s="68">
        <f>K17/'104Q1資產負債表 -查核 '!R22*10</f>
        <v>1.015634325</v>
      </c>
      <c r="L30" s="54"/>
      <c r="M30" s="68">
        <f>K21/'104Q1資產負債表 -查核 '!R22*10</f>
        <v>1.0634096499999999</v>
      </c>
      <c r="N30" s="54"/>
      <c r="O30" s="68">
        <f>O17/'104Q1資產負債表 -查核 '!Z22*10</f>
        <v>-1.060330475</v>
      </c>
      <c r="P30" s="54"/>
      <c r="Q30" s="68">
        <f>O21/'104Q1資產負債表 -查核 '!Z22*10</f>
        <v>-1.08721095</v>
      </c>
      <c r="S30" s="68">
        <f>S17/'104Q1資產負債表 -查核 '!R22*10</f>
        <v>0.08128027499999999</v>
      </c>
      <c r="T30" s="54"/>
      <c r="U30" s="68">
        <f>S21/'104Q1資產負債表 -查核 '!R22*10</f>
        <v>0.060322625</v>
      </c>
      <c r="V30" s="54"/>
      <c r="W30" s="68">
        <f>W17/'104Q1資產負債表 -查核 '!Z22*10</f>
        <v>0.234579575</v>
      </c>
      <c r="X30" s="54"/>
      <c r="Y30" s="68">
        <f>W21/'104Q1資產負債表 -查核 '!Z22*10</f>
        <v>0.194701025</v>
      </c>
    </row>
    <row r="31" spans="1:9" ht="15" customHeight="1" thickTop="1">
      <c r="A31" s="7"/>
      <c r="B31" s="7"/>
      <c r="C31" s="16"/>
      <c r="D31" s="54"/>
      <c r="E31" s="16"/>
      <c r="F31" s="54"/>
      <c r="G31" s="16"/>
      <c r="H31" s="54"/>
      <c r="I31" s="16"/>
    </row>
    <row r="32" spans="11:17" ht="15" customHeight="1">
      <c r="K32" s="32"/>
      <c r="Q32" s="69"/>
    </row>
    <row r="33" spans="11:23" ht="15" customHeight="1">
      <c r="K33" s="32"/>
      <c r="Q33" s="69"/>
      <c r="W33" s="3"/>
    </row>
    <row r="34" spans="17:23" ht="15" customHeight="1">
      <c r="Q34" s="69"/>
      <c r="W34" s="3"/>
    </row>
    <row r="35" spans="17:23" ht="15" customHeight="1">
      <c r="Q35" s="69"/>
      <c r="W35" s="3"/>
    </row>
    <row r="36" ht="15" customHeight="1">
      <c r="W36" s="3"/>
    </row>
  </sheetData>
  <sheetProtection/>
  <mergeCells count="16">
    <mergeCell ref="A1:Y1"/>
    <mergeCell ref="A2:Y2"/>
    <mergeCell ref="C28:E28"/>
    <mergeCell ref="G28:I28"/>
    <mergeCell ref="C6:E6"/>
    <mergeCell ref="G6:I6"/>
    <mergeCell ref="K28:M28"/>
    <mergeCell ref="O28:Q28"/>
    <mergeCell ref="S6:U6"/>
    <mergeCell ref="W6:Y6"/>
    <mergeCell ref="S28:U28"/>
    <mergeCell ref="W28:Y28"/>
    <mergeCell ref="A3:Y3"/>
    <mergeCell ref="A4:Y4"/>
    <mergeCell ref="K6:M6"/>
    <mergeCell ref="O6:Q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林宛慧</cp:lastModifiedBy>
  <cp:lastPrinted>2015-05-28T06:58:34Z</cp:lastPrinted>
  <dcterms:created xsi:type="dcterms:W3CDTF">2013-06-05T07:55:50Z</dcterms:created>
  <dcterms:modified xsi:type="dcterms:W3CDTF">2015-05-29T07:06:12Z</dcterms:modified>
  <cp:category/>
  <cp:version/>
  <cp:contentType/>
  <cp:contentStatus/>
</cp:coreProperties>
</file>